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JenFunk\Completions\Annex Completions\"/>
    </mc:Choice>
  </mc:AlternateContent>
  <xr:revisionPtr revIDLastSave="0" documentId="13_ncr:1_{EA919A1F-5B77-4ACF-9797-C15D65FAA7AD}" xr6:coauthVersionLast="47" xr6:coauthVersionMax="47" xr10:uidLastSave="{00000000-0000-0000-0000-000000000000}"/>
  <bookViews>
    <workbookView xWindow="28680" yWindow="-195" windowWidth="29040" windowHeight="15720" xr2:uid="{00000000-000D-0000-FFFF-FFFF00000000}"/>
  </bookViews>
  <sheets>
    <sheet name="Completions_template" sheetId="1" r:id="rId1"/>
    <sheet name="data" sheetId="2" r:id="rId2"/>
  </sheets>
  <externalReferences>
    <externalReference r:id="rId3"/>
  </externalReferences>
  <definedNames>
    <definedName name="__MeasureNames__">'[1]#REF!'!$A$2:$C$2</definedName>
    <definedName name="__ViewNames__">'[1]#REF!'!$C$3:$C$4</definedName>
    <definedName name="data_code">data!$A:$B</definedName>
    <definedName name="_xlnm.Print_Area" localSheetId="0">Completions_template!$A$1:$X$149</definedName>
    <definedName name="_xlnm.Print_Titles" localSheetId="0">Completions_template!$1:$2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5" i="1" l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D145" i="1"/>
  <c r="D143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D63" i="1"/>
  <c r="W85" i="1" l="1"/>
  <c r="X85" i="1" s="1"/>
  <c r="V50" i="1"/>
  <c r="V51" i="1"/>
  <c r="W51" i="1"/>
  <c r="W50" i="1"/>
  <c r="W56" i="1"/>
  <c r="V56" i="1"/>
  <c r="W135" i="1"/>
  <c r="V135" i="1"/>
  <c r="W132" i="1"/>
  <c r="V132" i="1"/>
  <c r="V144" i="1"/>
  <c r="W144" i="1"/>
  <c r="X56" i="1" l="1"/>
  <c r="X51" i="1"/>
  <c r="X135" i="1"/>
  <c r="X132" i="1"/>
  <c r="X144" i="1"/>
  <c r="U148" i="1" l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W143" i="1" l="1"/>
  <c r="V143" i="1"/>
  <c r="W100" i="1"/>
  <c r="V100" i="1"/>
  <c r="W80" i="1"/>
  <c r="V80" i="1"/>
  <c r="V24" i="1"/>
  <c r="W24" i="1"/>
  <c r="W148" i="1"/>
  <c r="V148" i="1"/>
  <c r="W53" i="1"/>
  <c r="V53" i="1"/>
  <c r="W108" i="1"/>
  <c r="V108" i="1"/>
  <c r="W107" i="1"/>
  <c r="V107" i="1"/>
  <c r="W57" i="1"/>
  <c r="V57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M111" i="1"/>
  <c r="L111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X143" i="1" l="1"/>
  <c r="X100" i="1"/>
  <c r="X80" i="1"/>
  <c r="X50" i="1"/>
  <c r="X24" i="1"/>
  <c r="X148" i="1"/>
  <c r="X53" i="1"/>
  <c r="X107" i="1"/>
  <c r="X108" i="1"/>
  <c r="X57" i="1"/>
  <c r="V134" i="1"/>
  <c r="W134" i="1"/>
  <c r="W133" i="1"/>
  <c r="V133" i="1"/>
  <c r="X133" i="1" l="1"/>
  <c r="X134" i="1"/>
  <c r="U75" i="1" l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V75" i="1" l="1"/>
  <c r="W75" i="1"/>
  <c r="W76" i="1"/>
  <c r="W140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D136" i="1"/>
  <c r="W14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S113" i="1"/>
  <c r="R113" i="1"/>
  <c r="S112" i="1"/>
  <c r="R112" i="1"/>
  <c r="M113" i="1"/>
  <c r="L113" i="1"/>
  <c r="M112" i="1"/>
  <c r="L112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F25" i="1"/>
  <c r="U113" i="1"/>
  <c r="T113" i="1"/>
  <c r="Q113" i="1"/>
  <c r="P113" i="1"/>
  <c r="O113" i="1"/>
  <c r="N113" i="1"/>
  <c r="K113" i="1"/>
  <c r="J113" i="1"/>
  <c r="I113" i="1"/>
  <c r="H113" i="1"/>
  <c r="G113" i="1"/>
  <c r="F113" i="1"/>
  <c r="E113" i="1"/>
  <c r="D113" i="1"/>
  <c r="U112" i="1"/>
  <c r="T112" i="1"/>
  <c r="Q112" i="1"/>
  <c r="P112" i="1"/>
  <c r="O112" i="1"/>
  <c r="N112" i="1"/>
  <c r="K112" i="1"/>
  <c r="J112" i="1"/>
  <c r="I112" i="1"/>
  <c r="H112" i="1"/>
  <c r="G112" i="1"/>
  <c r="F112" i="1"/>
  <c r="E112" i="1"/>
  <c r="D112" i="1"/>
  <c r="U111" i="1"/>
  <c r="T111" i="1"/>
  <c r="S111" i="1"/>
  <c r="R111" i="1"/>
  <c r="Q111" i="1"/>
  <c r="P111" i="1"/>
  <c r="O111" i="1"/>
  <c r="N111" i="1"/>
  <c r="K111" i="1"/>
  <c r="J111" i="1"/>
  <c r="I111" i="1"/>
  <c r="H111" i="1"/>
  <c r="G111" i="1"/>
  <c r="F111" i="1"/>
  <c r="E111" i="1"/>
  <c r="D111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E25" i="1"/>
  <c r="D25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Q146" i="1" l="1"/>
  <c r="Q149" i="1" s="1"/>
  <c r="F146" i="1"/>
  <c r="F149" i="1" s="1"/>
  <c r="H146" i="1"/>
  <c r="H149" i="1" s="1"/>
  <c r="I146" i="1"/>
  <c r="I149" i="1" s="1"/>
  <c r="P146" i="1"/>
  <c r="P149" i="1" s="1"/>
  <c r="R146" i="1"/>
  <c r="R149" i="1" s="1"/>
  <c r="D146" i="1"/>
  <c r="D149" i="1" s="1"/>
  <c r="S146" i="1"/>
  <c r="S149" i="1" s="1"/>
  <c r="T146" i="1"/>
  <c r="T149" i="1" s="1"/>
  <c r="G146" i="1"/>
  <c r="G149" i="1" s="1"/>
  <c r="J146" i="1"/>
  <c r="J149" i="1" s="1"/>
  <c r="K146" i="1"/>
  <c r="K149" i="1" s="1"/>
  <c r="E146" i="1"/>
  <c r="E149" i="1" s="1"/>
  <c r="U146" i="1"/>
  <c r="U149" i="1" s="1"/>
  <c r="L146" i="1"/>
  <c r="L149" i="1" s="1"/>
  <c r="M146" i="1"/>
  <c r="M149" i="1" s="1"/>
  <c r="N146" i="1"/>
  <c r="N149" i="1" s="1"/>
  <c r="O146" i="1"/>
  <c r="O149" i="1" s="1"/>
  <c r="W142" i="1"/>
  <c r="X75" i="1"/>
  <c r="V140" i="1"/>
  <c r="X140" i="1" s="1"/>
  <c r="V145" i="1"/>
  <c r="X145" i="1" s="1"/>
  <c r="V76" i="1"/>
  <c r="X76" i="1" s="1"/>
  <c r="W141" i="1"/>
  <c r="V141" i="1"/>
  <c r="V142" i="1"/>
  <c r="W139" i="1"/>
  <c r="V139" i="1"/>
  <c r="F114" i="1"/>
  <c r="W138" i="1"/>
  <c r="V138" i="1"/>
  <c r="W136" i="1"/>
  <c r="V136" i="1"/>
  <c r="V137" i="1"/>
  <c r="W137" i="1"/>
  <c r="S114" i="1"/>
  <c r="H114" i="1"/>
  <c r="N110" i="1"/>
  <c r="N123" i="1" s="1"/>
  <c r="J114" i="1"/>
  <c r="R114" i="1"/>
  <c r="T114" i="1"/>
  <c r="R110" i="1"/>
  <c r="R123" i="1" s="1"/>
  <c r="N114" i="1"/>
  <c r="K110" i="1"/>
  <c r="K123" i="1" s="1"/>
  <c r="E114" i="1"/>
  <c r="Q114" i="1"/>
  <c r="Q110" i="1"/>
  <c r="Q123" i="1" s="1"/>
  <c r="M114" i="1"/>
  <c r="T110" i="1"/>
  <c r="T123" i="1" s="1"/>
  <c r="D114" i="1"/>
  <c r="P114" i="1"/>
  <c r="L110" i="1"/>
  <c r="L123" i="1" s="1"/>
  <c r="M110" i="1"/>
  <c r="M123" i="1" s="1"/>
  <c r="O110" i="1"/>
  <c r="O123" i="1" s="1"/>
  <c r="I114" i="1"/>
  <c r="U114" i="1"/>
  <c r="D110" i="1"/>
  <c r="D123" i="1" s="1"/>
  <c r="P110" i="1"/>
  <c r="P123" i="1" s="1"/>
  <c r="K114" i="1"/>
  <c r="L114" i="1"/>
  <c r="W113" i="1"/>
  <c r="O114" i="1"/>
  <c r="I59" i="1"/>
  <c r="I121" i="1" s="1"/>
  <c r="U59" i="1"/>
  <c r="U121" i="1" s="1"/>
  <c r="E110" i="1"/>
  <c r="E123" i="1" s="1"/>
  <c r="F110" i="1"/>
  <c r="F123" i="1" s="1"/>
  <c r="W106" i="1"/>
  <c r="G110" i="1"/>
  <c r="G123" i="1" s="1"/>
  <c r="S110" i="1"/>
  <c r="S123" i="1" s="1"/>
  <c r="W112" i="1"/>
  <c r="H110" i="1"/>
  <c r="H123" i="1" s="1"/>
  <c r="I110" i="1"/>
  <c r="I123" i="1" s="1"/>
  <c r="U110" i="1"/>
  <c r="U123" i="1" s="1"/>
  <c r="J110" i="1"/>
  <c r="J123" i="1" s="1"/>
  <c r="V112" i="1"/>
  <c r="G114" i="1"/>
  <c r="W111" i="1"/>
  <c r="V106" i="1"/>
  <c r="V111" i="1"/>
  <c r="V113" i="1"/>
  <c r="E59" i="1"/>
  <c r="E121" i="1" s="1"/>
  <c r="Q59" i="1"/>
  <c r="Q121" i="1" s="1"/>
  <c r="E103" i="1"/>
  <c r="E122" i="1" s="1"/>
  <c r="Q103" i="1"/>
  <c r="Q122" i="1" s="1"/>
  <c r="V109" i="1"/>
  <c r="W109" i="1"/>
  <c r="D59" i="1"/>
  <c r="D121" i="1" s="1"/>
  <c r="P59" i="1"/>
  <c r="P121" i="1" s="1"/>
  <c r="R59" i="1"/>
  <c r="R121" i="1" s="1"/>
  <c r="H59" i="1"/>
  <c r="T59" i="1"/>
  <c r="T121" i="1" s="1"/>
  <c r="F59" i="1"/>
  <c r="F121" i="1" s="1"/>
  <c r="R103" i="1"/>
  <c r="R122" i="1" s="1"/>
  <c r="W94" i="1"/>
  <c r="M59" i="1"/>
  <c r="M121" i="1" s="1"/>
  <c r="G59" i="1"/>
  <c r="G121" i="1" s="1"/>
  <c r="S59" i="1"/>
  <c r="S121" i="1" s="1"/>
  <c r="G103" i="1"/>
  <c r="G122" i="1" s="1"/>
  <c r="S103" i="1"/>
  <c r="S122" i="1" s="1"/>
  <c r="K103" i="1"/>
  <c r="K122" i="1" s="1"/>
  <c r="J59" i="1"/>
  <c r="J121" i="1" s="1"/>
  <c r="K59" i="1"/>
  <c r="K121" i="1" s="1"/>
  <c r="V94" i="1"/>
  <c r="L59" i="1"/>
  <c r="L121" i="1" s="1"/>
  <c r="N59" i="1"/>
  <c r="N121" i="1" s="1"/>
  <c r="O59" i="1"/>
  <c r="O121" i="1" s="1"/>
  <c r="P103" i="1"/>
  <c r="P122" i="1" s="1"/>
  <c r="H103" i="1"/>
  <c r="H122" i="1" s="1"/>
  <c r="T103" i="1"/>
  <c r="T122" i="1" s="1"/>
  <c r="U103" i="1"/>
  <c r="U122" i="1" s="1"/>
  <c r="J103" i="1"/>
  <c r="J122" i="1" s="1"/>
  <c r="D103" i="1"/>
  <c r="D122" i="1" s="1"/>
  <c r="I103" i="1"/>
  <c r="I122" i="1" s="1"/>
  <c r="M103" i="1"/>
  <c r="M122" i="1" s="1"/>
  <c r="N103" i="1"/>
  <c r="O103" i="1"/>
  <c r="O122" i="1" s="1"/>
  <c r="F103" i="1"/>
  <c r="F122" i="1" s="1"/>
  <c r="L103" i="1"/>
  <c r="L122" i="1" s="1"/>
  <c r="I48" i="1"/>
  <c r="I120" i="1" s="1"/>
  <c r="U48" i="1"/>
  <c r="U120" i="1" s="1"/>
  <c r="W30" i="1"/>
  <c r="W49" i="1"/>
  <c r="W54" i="1"/>
  <c r="W55" i="1"/>
  <c r="W58" i="1"/>
  <c r="V101" i="1"/>
  <c r="W52" i="1"/>
  <c r="V49" i="1"/>
  <c r="V95" i="1"/>
  <c r="M48" i="1"/>
  <c r="M120" i="1" s="1"/>
  <c r="N48" i="1"/>
  <c r="N120" i="1" s="1"/>
  <c r="S48" i="1"/>
  <c r="S120" i="1" s="1"/>
  <c r="V63" i="1"/>
  <c r="W5" i="1"/>
  <c r="W7" i="1"/>
  <c r="W12" i="1"/>
  <c r="W14" i="1"/>
  <c r="G48" i="1"/>
  <c r="G120" i="1" s="1"/>
  <c r="H48" i="1"/>
  <c r="H120" i="1" s="1"/>
  <c r="T48" i="1"/>
  <c r="T120" i="1" s="1"/>
  <c r="W97" i="1"/>
  <c r="W77" i="1"/>
  <c r="W73" i="1"/>
  <c r="W68" i="1"/>
  <c r="W63" i="1"/>
  <c r="V6" i="1"/>
  <c r="V8" i="1"/>
  <c r="V10" i="1"/>
  <c r="V11" i="1"/>
  <c r="V12" i="1"/>
  <c r="V17" i="1"/>
  <c r="V18" i="1"/>
  <c r="V19" i="1"/>
  <c r="V30" i="1"/>
  <c r="V33" i="1"/>
  <c r="V44" i="1"/>
  <c r="W90" i="1"/>
  <c r="O48" i="1"/>
  <c r="O120" i="1" s="1"/>
  <c r="W89" i="1"/>
  <c r="D48" i="1"/>
  <c r="D120" i="1" s="1"/>
  <c r="V73" i="1"/>
  <c r="V72" i="1"/>
  <c r="W95" i="1"/>
  <c r="P48" i="1"/>
  <c r="P120" i="1" s="1"/>
  <c r="E48" i="1"/>
  <c r="E120" i="1" s="1"/>
  <c r="Q48" i="1"/>
  <c r="Q120" i="1" s="1"/>
  <c r="W93" i="1"/>
  <c r="R48" i="1"/>
  <c r="R120" i="1" s="1"/>
  <c r="W115" i="1"/>
  <c r="W105" i="1"/>
  <c r="V62" i="1"/>
  <c r="L48" i="1"/>
  <c r="L120" i="1" s="1"/>
  <c r="F48" i="1"/>
  <c r="W87" i="1"/>
  <c r="V77" i="1"/>
  <c r="W66" i="1"/>
  <c r="W18" i="1"/>
  <c r="W21" i="1"/>
  <c r="W23" i="1"/>
  <c r="W26" i="1"/>
  <c r="W31" i="1"/>
  <c r="W36" i="1"/>
  <c r="W37" i="1"/>
  <c r="W39" i="1"/>
  <c r="W42" i="1"/>
  <c r="J48" i="1"/>
  <c r="J120" i="1" s="1"/>
  <c r="K48" i="1"/>
  <c r="K120" i="1" s="1"/>
  <c r="V93" i="1"/>
  <c r="V90" i="1"/>
  <c r="V89" i="1"/>
  <c r="W86" i="1"/>
  <c r="W82" i="1"/>
  <c r="W81" i="1"/>
  <c r="W74" i="1"/>
  <c r="V68" i="1"/>
  <c r="W64" i="1"/>
  <c r="V60" i="1"/>
  <c r="V9" i="1"/>
  <c r="V14" i="1"/>
  <c r="V16" i="1"/>
  <c r="V21" i="1"/>
  <c r="V23" i="1"/>
  <c r="V28" i="1"/>
  <c r="V32" i="1"/>
  <c r="V41" i="1"/>
  <c r="V43" i="1"/>
  <c r="V86" i="1"/>
  <c r="W70" i="1"/>
  <c r="V64" i="1"/>
  <c r="W9" i="1"/>
  <c r="W16" i="1"/>
  <c r="W19" i="1"/>
  <c r="W28" i="1"/>
  <c r="W32" i="1"/>
  <c r="W35" i="1"/>
  <c r="W43" i="1"/>
  <c r="W45" i="1"/>
  <c r="W46" i="1"/>
  <c r="V87" i="1"/>
  <c r="V82" i="1"/>
  <c r="V81" i="1"/>
  <c r="V7" i="1"/>
  <c r="V45" i="1"/>
  <c r="W101" i="1"/>
  <c r="V96" i="1"/>
  <c r="W72" i="1"/>
  <c r="W67" i="1"/>
  <c r="W41" i="1"/>
  <c r="V47" i="1"/>
  <c r="V97" i="1"/>
  <c r="W92" i="1"/>
  <c r="W88" i="1"/>
  <c r="V83" i="1"/>
  <c r="V78" i="1"/>
  <c r="W69" i="1"/>
  <c r="W60" i="1"/>
  <c r="W8" i="1"/>
  <c r="W10" i="1"/>
  <c r="W11" i="1"/>
  <c r="W13" i="1"/>
  <c r="W15" i="1"/>
  <c r="W17" i="1"/>
  <c r="W20" i="1"/>
  <c r="W22" i="1"/>
  <c r="W34" i="1"/>
  <c r="V54" i="1"/>
  <c r="V55" i="1"/>
  <c r="V58" i="1"/>
  <c r="V52" i="1"/>
  <c r="V92" i="1"/>
  <c r="V91" i="1"/>
  <c r="V88" i="1"/>
  <c r="W84" i="1"/>
  <c r="W79" i="1"/>
  <c r="V69" i="1"/>
  <c r="W65" i="1"/>
  <c r="V4" i="1"/>
  <c r="V20" i="1"/>
  <c r="V22" i="1"/>
  <c r="V27" i="1"/>
  <c r="V29" i="1"/>
  <c r="V36" i="1"/>
  <c r="V40" i="1"/>
  <c r="V42" i="1"/>
  <c r="W104" i="1"/>
  <c r="W99" i="1"/>
  <c r="V84" i="1"/>
  <c r="V79" i="1"/>
  <c r="V74" i="1"/>
  <c r="V66" i="1"/>
  <c r="V65" i="1"/>
  <c r="W62" i="1"/>
  <c r="W61" i="1"/>
  <c r="W4" i="1"/>
  <c r="W6" i="1"/>
  <c r="W29" i="1"/>
  <c r="W33" i="1"/>
  <c r="W38" i="1"/>
  <c r="W40" i="1"/>
  <c r="W44" i="1"/>
  <c r="W47" i="1"/>
  <c r="V102" i="1"/>
  <c r="W96" i="1"/>
  <c r="V70" i="1"/>
  <c r="V61" i="1"/>
  <c r="V15" i="1"/>
  <c r="V31" i="1"/>
  <c r="V38" i="1"/>
  <c r="V115" i="1"/>
  <c r="W102" i="1"/>
  <c r="V98" i="1"/>
  <c r="W91" i="1"/>
  <c r="W71" i="1"/>
  <c r="W27" i="1"/>
  <c r="V105" i="1"/>
  <c r="V104" i="1"/>
  <c r="V99" i="1"/>
  <c r="W98" i="1"/>
  <c r="W83" i="1"/>
  <c r="W78" i="1"/>
  <c r="V71" i="1"/>
  <c r="V67" i="1"/>
  <c r="V5" i="1"/>
  <c r="V13" i="1"/>
  <c r="V34" i="1"/>
  <c r="V35" i="1"/>
  <c r="V39" i="1"/>
  <c r="V46" i="1"/>
  <c r="V37" i="1"/>
  <c r="V26" i="1"/>
  <c r="V25" i="1"/>
  <c r="W25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V146" i="1" l="1"/>
  <c r="V149" i="1" s="1"/>
  <c r="W146" i="1"/>
  <c r="W149" i="1" s="1"/>
  <c r="X142" i="1"/>
  <c r="X141" i="1"/>
  <c r="U116" i="1"/>
  <c r="N116" i="1"/>
  <c r="E116" i="1"/>
  <c r="R116" i="1"/>
  <c r="T116" i="1"/>
  <c r="F116" i="1"/>
  <c r="G116" i="1"/>
  <c r="P116" i="1"/>
  <c r="J116" i="1"/>
  <c r="O116" i="1"/>
  <c r="D116" i="1"/>
  <c r="X139" i="1"/>
  <c r="H116" i="1"/>
  <c r="I116" i="1"/>
  <c r="L116" i="1"/>
  <c r="M116" i="1"/>
  <c r="S116" i="1"/>
  <c r="K116" i="1"/>
  <c r="Q116" i="1"/>
  <c r="X66" i="1"/>
  <c r="X138" i="1"/>
  <c r="X136" i="1"/>
  <c r="X137" i="1"/>
  <c r="X54" i="1"/>
  <c r="X30" i="1"/>
  <c r="X113" i="1"/>
  <c r="W110" i="1"/>
  <c r="W123" i="1" s="1"/>
  <c r="X55" i="1"/>
  <c r="X111" i="1"/>
  <c r="X106" i="1"/>
  <c r="W114" i="1"/>
  <c r="V59" i="1"/>
  <c r="V121" i="1" s="1"/>
  <c r="X94" i="1"/>
  <c r="X26" i="1"/>
  <c r="V110" i="1"/>
  <c r="V123" i="1" s="1"/>
  <c r="X112" i="1"/>
  <c r="V114" i="1"/>
  <c r="X105" i="1"/>
  <c r="H121" i="1"/>
  <c r="X33" i="1"/>
  <c r="X49" i="1"/>
  <c r="X109" i="1"/>
  <c r="X39" i="1"/>
  <c r="X104" i="1"/>
  <c r="X95" i="1"/>
  <c r="X67" i="1"/>
  <c r="X11" i="1"/>
  <c r="W59" i="1"/>
  <c r="W121" i="1" s="1"/>
  <c r="X52" i="1"/>
  <c r="X6" i="1"/>
  <c r="X42" i="1"/>
  <c r="V103" i="1"/>
  <c r="V122" i="1" s="1"/>
  <c r="N122" i="1"/>
  <c r="W103" i="1"/>
  <c r="X44" i="1"/>
  <c r="X101" i="1"/>
  <c r="X99" i="1"/>
  <c r="X77" i="1"/>
  <c r="X14" i="1"/>
  <c r="X90" i="1"/>
  <c r="X70" i="1"/>
  <c r="X58" i="1"/>
  <c r="X15" i="1"/>
  <c r="X13" i="1"/>
  <c r="X68" i="1"/>
  <c r="X78" i="1"/>
  <c r="X17" i="1"/>
  <c r="X97" i="1"/>
  <c r="X34" i="1"/>
  <c r="X82" i="1"/>
  <c r="X9" i="1"/>
  <c r="X12" i="1"/>
  <c r="X98" i="1"/>
  <c r="X65" i="1"/>
  <c r="X43" i="1"/>
  <c r="X7" i="1"/>
  <c r="V48" i="1"/>
  <c r="V120" i="1" s="1"/>
  <c r="X46" i="1"/>
  <c r="X28" i="1"/>
  <c r="X32" i="1"/>
  <c r="X62" i="1"/>
  <c r="X88" i="1"/>
  <c r="X8" i="1"/>
  <c r="X89" i="1"/>
  <c r="X29" i="1"/>
  <c r="X93" i="1"/>
  <c r="X63" i="1"/>
  <c r="X115" i="1"/>
  <c r="X126" i="1" s="1"/>
  <c r="X36" i="1"/>
  <c r="X72" i="1"/>
  <c r="X81" i="1"/>
  <c r="X21" i="1"/>
  <c r="X16" i="1"/>
  <c r="F120" i="1"/>
  <c r="X5" i="1"/>
  <c r="X22" i="1"/>
  <c r="X37" i="1"/>
  <c r="X102" i="1"/>
  <c r="X10" i="1"/>
  <c r="X41" i="1"/>
  <c r="X19" i="1"/>
  <c r="X73" i="1"/>
  <c r="X69" i="1"/>
  <c r="X47" i="1"/>
  <c r="X35" i="1"/>
  <c r="X40" i="1"/>
  <c r="X23" i="1"/>
  <c r="X18" i="1"/>
  <c r="X31" i="1"/>
  <c r="X87" i="1"/>
  <c r="X84" i="1"/>
  <c r="X60" i="1"/>
  <c r="W48" i="1"/>
  <c r="X79" i="1"/>
  <c r="X71" i="1"/>
  <c r="X61" i="1"/>
  <c r="X20" i="1"/>
  <c r="X86" i="1"/>
  <c r="X38" i="1"/>
  <c r="X45" i="1"/>
  <c r="X74" i="1"/>
  <c r="X91" i="1"/>
  <c r="X92" i="1"/>
  <c r="X27" i="1"/>
  <c r="X83" i="1"/>
  <c r="X96" i="1"/>
  <c r="X64" i="1"/>
  <c r="X4" i="1"/>
  <c r="X25" i="1"/>
  <c r="E125" i="1"/>
  <c r="E127" i="1" s="1"/>
  <c r="F125" i="1"/>
  <c r="G125" i="1"/>
  <c r="G127" i="1" s="1"/>
  <c r="H125" i="1"/>
  <c r="I125" i="1"/>
  <c r="I127" i="1" s="1"/>
  <c r="J125" i="1"/>
  <c r="J127" i="1" s="1"/>
  <c r="K125" i="1"/>
  <c r="K127" i="1" s="1"/>
  <c r="L125" i="1"/>
  <c r="L127" i="1" s="1"/>
  <c r="M125" i="1"/>
  <c r="M127" i="1" s="1"/>
  <c r="N125" i="1"/>
  <c r="O125" i="1"/>
  <c r="O127" i="1" s="1"/>
  <c r="P125" i="1"/>
  <c r="P127" i="1" s="1"/>
  <c r="Q125" i="1"/>
  <c r="Q127" i="1" s="1"/>
  <c r="R125" i="1"/>
  <c r="R127" i="1" s="1"/>
  <c r="S125" i="1"/>
  <c r="S127" i="1" s="1"/>
  <c r="T125" i="1"/>
  <c r="T127" i="1" s="1"/>
  <c r="U125" i="1"/>
  <c r="U127" i="1" s="1"/>
  <c r="D125" i="1"/>
  <c r="D127" i="1" s="1"/>
  <c r="W124" i="1"/>
  <c r="W126" i="1"/>
  <c r="W3" i="1"/>
  <c r="V124" i="1"/>
  <c r="V126" i="1"/>
  <c r="V3" i="1"/>
  <c r="X146" i="1" l="1"/>
  <c r="X149" i="1" s="1"/>
  <c r="H127" i="1"/>
  <c r="W116" i="1"/>
  <c r="X124" i="1"/>
  <c r="V116" i="1"/>
  <c r="X114" i="1"/>
  <c r="X125" i="1" s="1"/>
  <c r="X103" i="1"/>
  <c r="X122" i="1" s="1"/>
  <c r="X110" i="1"/>
  <c r="X123" i="1" s="1"/>
  <c r="X59" i="1"/>
  <c r="X121" i="1" s="1"/>
  <c r="F127" i="1"/>
  <c r="W122" i="1"/>
  <c r="N127" i="1"/>
  <c r="X48" i="1"/>
  <c r="X120" i="1" s="1"/>
  <c r="X3" i="1"/>
  <c r="W120" i="1"/>
  <c r="V125" i="1"/>
  <c r="V127" i="1" s="1"/>
  <c r="W125" i="1"/>
  <c r="X116" i="1" l="1"/>
  <c r="X127" i="1"/>
  <c r="W127" i="1"/>
</calcChain>
</file>

<file path=xl/sharedStrings.xml><?xml version="1.0" encoding="utf-8"?>
<sst xmlns="http://schemas.openxmlformats.org/spreadsheetml/2006/main" count="1497" uniqueCount="984">
  <si>
    <t>Psychology</t>
  </si>
  <si>
    <t>Criminal Justice Studies</t>
  </si>
  <si>
    <t>Sociology</t>
  </si>
  <si>
    <t>Museum Studies</t>
  </si>
  <si>
    <t>Vocal Pedagogy</t>
  </si>
  <si>
    <t>Men</t>
  </si>
  <si>
    <t>Women</t>
  </si>
  <si>
    <t>03.0104</t>
  </si>
  <si>
    <t>09.0101</t>
  </si>
  <si>
    <t>09.0102</t>
  </si>
  <si>
    <t>13.1210</t>
  </si>
  <si>
    <t>30.0000</t>
  </si>
  <si>
    <t>51.2010</t>
  </si>
  <si>
    <t>Dentistry (DMD)</t>
  </si>
  <si>
    <t>Pharmacy (PharmD)</t>
  </si>
  <si>
    <t>51.0401</t>
  </si>
  <si>
    <t>Educational Leadership (EdD)</t>
  </si>
  <si>
    <t>Native Hawaiian / Other Pacific Islander</t>
  </si>
  <si>
    <t>Hispanic / Latino</t>
  </si>
  <si>
    <t>American indian / Alaska Native</t>
  </si>
  <si>
    <t>Asian</t>
  </si>
  <si>
    <t>Black / African American</t>
  </si>
  <si>
    <t>All</t>
  </si>
  <si>
    <t>Totals</t>
  </si>
  <si>
    <t>White</t>
  </si>
  <si>
    <t>Two or more races</t>
  </si>
  <si>
    <t>Unknown</t>
  </si>
  <si>
    <t>CIP Code</t>
  </si>
  <si>
    <t>51.3801</t>
  </si>
  <si>
    <t>Total Baccalaureate degrees</t>
  </si>
  <si>
    <t>Total Post-Baccalaureate Certificates</t>
  </si>
  <si>
    <t>Total Doctor's Professional Practice degrees</t>
  </si>
  <si>
    <t>Total Master's degrees</t>
  </si>
  <si>
    <t>19 - Doctoral, Other</t>
  </si>
  <si>
    <t>18 - Doctor of Professional Practice</t>
  </si>
  <si>
    <t>Total Post-Master's Certificates/Specialist degrees</t>
  </si>
  <si>
    <t>7 - Master's degrees</t>
  </si>
  <si>
    <t>6 - Post-Baccalaureate Certificates</t>
  </si>
  <si>
    <t>5 - Baccalaureate degrees</t>
  </si>
  <si>
    <t>First major totals by degree award level</t>
  </si>
  <si>
    <t>Baccalaureate degrees</t>
  </si>
  <si>
    <t>Post-Baccalaureate Certificates</t>
  </si>
  <si>
    <t>Master's degrees</t>
  </si>
  <si>
    <t>Post-Master's Certificates/Specialist degrees</t>
  </si>
  <si>
    <t>17</t>
  </si>
  <si>
    <t>Doctoral Degrees - Research/Scholarship</t>
  </si>
  <si>
    <t>18</t>
  </si>
  <si>
    <t>Doctoral Degrees - Professional Practice</t>
  </si>
  <si>
    <t>19</t>
  </si>
  <si>
    <t xml:space="preserve">Doctoral Degrees - Other </t>
  </si>
  <si>
    <t>All degrees</t>
  </si>
  <si>
    <t>5</t>
  </si>
  <si>
    <t>6</t>
  </si>
  <si>
    <t>7</t>
  </si>
  <si>
    <t>8</t>
  </si>
  <si>
    <t>Award Level</t>
  </si>
  <si>
    <t>Degree Program - First Majors</t>
  </si>
  <si>
    <t>Total degrees, all award levels</t>
  </si>
  <si>
    <t>8 - Post-Master's Certificate / Specialist degrees</t>
  </si>
  <si>
    <t>17 - Doctoral, Research / Scholarship</t>
  </si>
  <si>
    <t>B.A. and B.S. in Environmental Sciences</t>
  </si>
  <si>
    <t>B.A. and B.S. in Applied Communication Studies</t>
  </si>
  <si>
    <t>B.A. and B.S. in Mass Communications</t>
  </si>
  <si>
    <t>B.S. in Computer Management and Information Systems</t>
  </si>
  <si>
    <t>B.A. and B.S. in Computer Science</t>
  </si>
  <si>
    <t>B.S. in Special Education</t>
  </si>
  <si>
    <t>B.S. in Elementary Education</t>
  </si>
  <si>
    <t>B.S. in Early Childhood Education</t>
  </si>
  <si>
    <t>B.S. in Civil Engineering</t>
  </si>
  <si>
    <t>B.S. in Computer Engineering</t>
  </si>
  <si>
    <t>B.S. in Mechatronics and Robotics Engineering</t>
  </si>
  <si>
    <t>B.S. in Industrial Engineering</t>
  </si>
  <si>
    <t>B.S. in Mechanical Engineering</t>
  </si>
  <si>
    <t>B.S. in Electrical Engineering</t>
  </si>
  <si>
    <t>B.A. and B.S. in Foreign Languages and Literature</t>
  </si>
  <si>
    <t>B.A. in English</t>
  </si>
  <si>
    <t>Bachelor of Liberal Studies (B.L.S.)</t>
  </si>
  <si>
    <t>B.A. and B.S. in Biological Sciences</t>
  </si>
  <si>
    <t>B.A. and B.S. in Mathematical Studies</t>
  </si>
  <si>
    <t>B.A. and B.S. in Integrative Studies</t>
  </si>
  <si>
    <t>B.A. in International Studies</t>
  </si>
  <si>
    <t>B.S. in Exercise Science</t>
  </si>
  <si>
    <t>B.A. and B.S. in Philosophy</t>
  </si>
  <si>
    <t>B.A. and B.S. in Chemistry</t>
  </si>
  <si>
    <t>B.A. and B.S. in Psychology</t>
  </si>
  <si>
    <t>B.A. and B.S. in Criminal Justice Studies</t>
  </si>
  <si>
    <t>B.A. and B.S. in Anthropology</t>
  </si>
  <si>
    <t>B.A. and B.S. in Economics</t>
  </si>
  <si>
    <t>B.A. and B.S. in Political Science</t>
  </si>
  <si>
    <t>B.A. and B.S. in Sociology</t>
  </si>
  <si>
    <t>B.A. and B.S. in Theater and Dance</t>
  </si>
  <si>
    <t>B.A. and B.S. in Art</t>
  </si>
  <si>
    <t>B.F.A. in Art and Design</t>
  </si>
  <si>
    <t>B.A. and B.M. in Music</t>
  </si>
  <si>
    <t>B.S. in Speech Language Pathology and Audiology</t>
  </si>
  <si>
    <t>B.S. in Public Health</t>
  </si>
  <si>
    <t>B.S. in Nutrition</t>
  </si>
  <si>
    <t>B.S. in Nursing</t>
  </si>
  <si>
    <t>B.S. in Business Administration</t>
  </si>
  <si>
    <t>B.S.A. in Accountancy</t>
  </si>
  <si>
    <t>B.A. and B.S. in History</t>
  </si>
  <si>
    <t>B.S. in Construction Management</t>
  </si>
  <si>
    <t>Bachelor of Social Work (B.S.W.)</t>
  </si>
  <si>
    <t>B.S. in Physics</t>
  </si>
  <si>
    <t>13.0501</t>
  </si>
  <si>
    <t>Web-based Learning</t>
  </si>
  <si>
    <t>23.0101</t>
  </si>
  <si>
    <t>Teaching of Writing</t>
  </si>
  <si>
    <t>M.S. in Environmental Sciences</t>
  </si>
  <si>
    <t>M.A. in Applied Communication Studies</t>
  </si>
  <si>
    <t>M.S. in Computer Management and Information Systems</t>
  </si>
  <si>
    <t>M.S. in Computer Science</t>
  </si>
  <si>
    <t>M.S.Ed. in Curriculum and Instruction</t>
  </si>
  <si>
    <t>M.S.Ed. in Educational Administration</t>
  </si>
  <si>
    <t>M.S.Ed. in College Student Personnel Administration</t>
  </si>
  <si>
    <t>M.S.Ed. in Instructional Technology</t>
  </si>
  <si>
    <t>M.S.Ed. in Diversity and Equity in Education</t>
  </si>
  <si>
    <t>M.S. in Civil Engineering</t>
  </si>
  <si>
    <t>M.S. in Electrical and Computer Engineering</t>
  </si>
  <si>
    <t>M.S. in Mechanical Engineering</t>
  </si>
  <si>
    <t>M.S. in Industrial Engineering</t>
  </si>
  <si>
    <t>M.A. in English</t>
  </si>
  <si>
    <t>M.S. in Mathematics</t>
  </si>
  <si>
    <t>M.A. and M.S. in Biological Sciences</t>
  </si>
  <si>
    <t>M.A. and M.S. in Integrative Studies</t>
  </si>
  <si>
    <t>M.S. and M.S.Ed. in Kinesiology</t>
  </si>
  <si>
    <t>M.S. in Chemistry</t>
  </si>
  <si>
    <t>M.A. and M.S. in Psychology</t>
  </si>
  <si>
    <t>M.S. in Criminal Justice Policy</t>
  </si>
  <si>
    <t>Master of Public Administration (M.P.A.)</t>
  </si>
  <si>
    <t>Master of Social Work (M.S.W.)</t>
  </si>
  <si>
    <t>M.S. in Geography</t>
  </si>
  <si>
    <t>M.A. in Sociology</t>
  </si>
  <si>
    <t>M.F.A. in Art</t>
  </si>
  <si>
    <t>Master of Music (M.M.)</t>
  </si>
  <si>
    <t>M.S. in Speech Language Pathology</t>
  </si>
  <si>
    <t>M.S. in Healthcare Informatics</t>
  </si>
  <si>
    <t>M.S. in Pharmaceutical Sciences</t>
  </si>
  <si>
    <t>M.A. in Art Therapy Counseling</t>
  </si>
  <si>
    <t>M.S. in Nurse Educator</t>
  </si>
  <si>
    <t>M.S. in Health Care and Nursing Administration</t>
  </si>
  <si>
    <t>Master of Business Administration (M.B.A.)</t>
  </si>
  <si>
    <t>Master of Science in Accountancy (M.S.A.)</t>
  </si>
  <si>
    <t>Master of Marketing Research (M.M.R.)</t>
  </si>
  <si>
    <t>M.A. in History</t>
  </si>
  <si>
    <t>Educational Administration (Ed.S.)</t>
  </si>
  <si>
    <t>School Psychology (S.D.)</t>
  </si>
  <si>
    <t>51.3101</t>
  </si>
  <si>
    <t>M.S. in Nutrition and Dietetics</t>
  </si>
  <si>
    <t>Nursing Practice (DNP)</t>
  </si>
  <si>
    <t>5-520201-7-M</t>
  </si>
  <si>
    <t>5-141001-7-M</t>
  </si>
  <si>
    <t>5-513801-7-F</t>
  </si>
  <si>
    <t>5-440701-8-F</t>
  </si>
  <si>
    <t>5-030104-7-F</t>
  </si>
  <si>
    <t>5-420101-5-M</t>
  </si>
  <si>
    <t>7-310501-7-F</t>
  </si>
  <si>
    <t>5-520201-2-F</t>
  </si>
  <si>
    <t>5-520201-4-F</t>
  </si>
  <si>
    <t>7-143501-1-F</t>
  </si>
  <si>
    <t>19-513818-7-M</t>
  </si>
  <si>
    <t>7-451101-7-F</t>
  </si>
  <si>
    <t>7-440401-5-F</t>
  </si>
  <si>
    <t>5-300000-7-M</t>
  </si>
  <si>
    <t>7-310501-7-M</t>
  </si>
  <si>
    <t>5-090101-7-M</t>
  </si>
  <si>
    <t>7-141901-7-M</t>
  </si>
  <si>
    <t>5-520201-5-F</t>
  </si>
  <si>
    <t>5-513801-5-F</t>
  </si>
  <si>
    <t>7-140801-1-M</t>
  </si>
  <si>
    <t>7-090101-1-F</t>
  </si>
  <si>
    <t>5-131210-5-F</t>
  </si>
  <si>
    <t>5-310505-2-M</t>
  </si>
  <si>
    <t>5-140801-7-F</t>
  </si>
  <si>
    <t>5-430104-8-M</t>
  </si>
  <si>
    <t>5-420101-8-F</t>
  </si>
  <si>
    <t>5-240101-7-F</t>
  </si>
  <si>
    <t>7-310501-9-M</t>
  </si>
  <si>
    <t>7-400501-1-F</t>
  </si>
  <si>
    <t>5-420101-9-F</t>
  </si>
  <si>
    <t>18-510401-7-F</t>
  </si>
  <si>
    <t>5-260101-7-F</t>
  </si>
  <si>
    <t>5-520301-7-M</t>
  </si>
  <si>
    <t>5-140801-7-M</t>
  </si>
  <si>
    <t>5-451101-5-M</t>
  </si>
  <si>
    <t>19-513818-7-F</t>
  </si>
  <si>
    <t>5-520301-7-F</t>
  </si>
  <si>
    <t>7-420101-7-F</t>
  </si>
  <si>
    <t>5-110701-7-M</t>
  </si>
  <si>
    <t>5-300000-5-M</t>
  </si>
  <si>
    <t>7-310501-9-F</t>
  </si>
  <si>
    <t>5-260101-4-F</t>
  </si>
  <si>
    <t>5-520201-8-M</t>
  </si>
  <si>
    <t>7-510707-7-M</t>
  </si>
  <si>
    <t>7-140801-1-F</t>
  </si>
  <si>
    <t>5-430104-5-M</t>
  </si>
  <si>
    <t>7-510707-5-F</t>
  </si>
  <si>
    <t>5-141901-2-M</t>
  </si>
  <si>
    <t>5-450201-7-M</t>
  </si>
  <si>
    <t>7-521402-7-F</t>
  </si>
  <si>
    <t>5-160101-7-F</t>
  </si>
  <si>
    <t>7-110701-1-M</t>
  </si>
  <si>
    <t>5-440701-2-F</t>
  </si>
  <si>
    <t>19-513818-4-F</t>
  </si>
  <si>
    <t>5-400501-7-M</t>
  </si>
  <si>
    <t>7-110701-1-F</t>
  </si>
  <si>
    <t>7-140801-7-M</t>
  </si>
  <si>
    <t>5-513801-7-M</t>
  </si>
  <si>
    <t>7-440701-7-F</t>
  </si>
  <si>
    <t>5-500512-7-F</t>
  </si>
  <si>
    <t>5-110701-8-M</t>
  </si>
  <si>
    <t>5-420101-7-M</t>
  </si>
  <si>
    <t>5-420101-5-F</t>
  </si>
  <si>
    <t>5-451001-7-M</t>
  </si>
  <si>
    <t>7-130401-9-M</t>
  </si>
  <si>
    <t>5-141901-7-F</t>
  </si>
  <si>
    <t>7-143501-1-M</t>
  </si>
  <si>
    <t>7-270101-7-M</t>
  </si>
  <si>
    <t>7-130401-7-F</t>
  </si>
  <si>
    <t>17-130401-7-F</t>
  </si>
  <si>
    <t>5-500702-7-M</t>
  </si>
  <si>
    <t>5-520201-4-M</t>
  </si>
  <si>
    <t>5-513801-1-F</t>
  </si>
  <si>
    <t>5-110701-1-M</t>
  </si>
  <si>
    <t>7-420101-5-F</t>
  </si>
  <si>
    <t>7-420101-2-F</t>
  </si>
  <si>
    <t>5-143501-1-F</t>
  </si>
  <si>
    <t>7-030104-1-F</t>
  </si>
  <si>
    <t>5-450201-7-F</t>
  </si>
  <si>
    <t>7-130301-9-F</t>
  </si>
  <si>
    <t>7-510707-7-F</t>
  </si>
  <si>
    <t>19-513818-2-F</t>
  </si>
  <si>
    <t>5-230101-5-F</t>
  </si>
  <si>
    <t>5-310505-5-M</t>
  </si>
  <si>
    <t>18-510401-1-F</t>
  </si>
  <si>
    <t>5-520201-7-F</t>
  </si>
  <si>
    <t>7-440401-7-F</t>
  </si>
  <si>
    <t>5-510204-7-F</t>
  </si>
  <si>
    <t>5-310505-7-F</t>
  </si>
  <si>
    <t>7-513802-7-F</t>
  </si>
  <si>
    <t>5-520201-8-F</t>
  </si>
  <si>
    <t>5-440701-7-F</t>
  </si>
  <si>
    <t>5-260101-5-F</t>
  </si>
  <si>
    <t>5-260101-7-M</t>
  </si>
  <si>
    <t>5-300000-7-F</t>
  </si>
  <si>
    <t>5-520301-5-M</t>
  </si>
  <si>
    <t>5-500701-7-F</t>
  </si>
  <si>
    <t>7-260101-7-F</t>
  </si>
  <si>
    <t>7-130406-5-M</t>
  </si>
  <si>
    <t>7-440401-7-M</t>
  </si>
  <si>
    <t>5-090101-2-F</t>
  </si>
  <si>
    <t>5-513801-4-F</t>
  </si>
  <si>
    <t>7-090101-7-F</t>
  </si>
  <si>
    <t>5-500901-7-M</t>
  </si>
  <si>
    <t>5-512207-7-M</t>
  </si>
  <si>
    <t>7-139999-7-F</t>
  </si>
  <si>
    <t>5-240101-5-F</t>
  </si>
  <si>
    <t>7-512301-7-F</t>
  </si>
  <si>
    <t>7-400501-1-M</t>
  </si>
  <si>
    <t>5-513801-2-M</t>
  </si>
  <si>
    <t>7-440701-2-F</t>
  </si>
  <si>
    <t>5-451101-7-M</t>
  </si>
  <si>
    <t>5-131202-8-F</t>
  </si>
  <si>
    <t>5-160101-2-M</t>
  </si>
  <si>
    <t>18-510401-7-M</t>
  </si>
  <si>
    <t>5-090102-5-M</t>
  </si>
  <si>
    <t>5-090101-5-F</t>
  </si>
  <si>
    <t>19-513818-5-F</t>
  </si>
  <si>
    <t>5-513801-2-F</t>
  </si>
  <si>
    <t>5-131202-7-M</t>
  </si>
  <si>
    <t>5-430104-5-F</t>
  </si>
  <si>
    <t>5-522001-7-M</t>
  </si>
  <si>
    <t>5-260101-8-F</t>
  </si>
  <si>
    <t>7-130406-5-F</t>
  </si>
  <si>
    <t>5-131210-7-F</t>
  </si>
  <si>
    <t>7-130401-7-M</t>
  </si>
  <si>
    <t>5-500702-7-F</t>
  </si>
  <si>
    <t>7-310501-5-M</t>
  </si>
  <si>
    <t>17-130401-7-M</t>
  </si>
  <si>
    <t>5-260101-2-F</t>
  </si>
  <si>
    <t>5-090102-5-F</t>
  </si>
  <si>
    <t>5-141001-7-F</t>
  </si>
  <si>
    <t>5-513801-8-F</t>
  </si>
  <si>
    <t>5-520201-9-M</t>
  </si>
  <si>
    <t>5-440701-5-F</t>
  </si>
  <si>
    <t>5-500701-7-M</t>
  </si>
  <si>
    <t>5-110701-7-F</t>
  </si>
  <si>
    <t>5-430104-7-F</t>
  </si>
  <si>
    <t>5-140901-7-M</t>
  </si>
  <si>
    <t>5-520201-5-M</t>
  </si>
  <si>
    <t>7-513203-7-F</t>
  </si>
  <si>
    <t>5-400501-7-F</t>
  </si>
  <si>
    <t>5-270101-7-F</t>
  </si>
  <si>
    <t>7-310501-2-M</t>
  </si>
  <si>
    <t>5-540101-7-F</t>
  </si>
  <si>
    <t>5-090102-7-M</t>
  </si>
  <si>
    <t>7-130301-7-F</t>
  </si>
  <si>
    <t>5-310505-7-M</t>
  </si>
  <si>
    <t>5-230101-7-F</t>
  </si>
  <si>
    <t>5-090102-8-M</t>
  </si>
  <si>
    <t>5-090101-7-F</t>
  </si>
  <si>
    <t>5-451001-7-F</t>
  </si>
  <si>
    <t>5-400801-7-M</t>
  </si>
  <si>
    <t>5-240101-7-M</t>
  </si>
  <si>
    <t>5-420101-2-M</t>
  </si>
  <si>
    <t>5-451101-5-F</t>
  </si>
  <si>
    <t>7-510707-9-F</t>
  </si>
  <si>
    <t>5-260101-5-M</t>
  </si>
  <si>
    <t>7-420101-7-M</t>
  </si>
  <si>
    <t>5-030104-7-M</t>
  </si>
  <si>
    <t>5-420101-8-M</t>
  </si>
  <si>
    <t>5-230101-2-F</t>
  </si>
  <si>
    <t>18-510401-4-F</t>
  </si>
  <si>
    <t>5-143501-7-M</t>
  </si>
  <si>
    <t>5-512207-7-F</t>
  </si>
  <si>
    <t>5-131001-7-F</t>
  </si>
  <si>
    <t>5-500901-7-F</t>
  </si>
  <si>
    <t>18-512001-7-M</t>
  </si>
  <si>
    <t>7-310501-5-F</t>
  </si>
  <si>
    <t>7-500901-7-M</t>
  </si>
  <si>
    <t>5-520201-1-M</t>
  </si>
  <si>
    <t>7-520301-7-M</t>
  </si>
  <si>
    <t>5-260101-2-M</t>
  </si>
  <si>
    <t>5-270101-7-M</t>
  </si>
  <si>
    <t>5-510204-5-F</t>
  </si>
  <si>
    <t>7-440401-5-M</t>
  </si>
  <si>
    <t>5-420101-4-F</t>
  </si>
  <si>
    <t>5-520201-2-M</t>
  </si>
  <si>
    <t>5-380101-7-F</t>
  </si>
  <si>
    <t>7-400501-7-M</t>
  </si>
  <si>
    <t>5-451101-7-F</t>
  </si>
  <si>
    <t>5-420101-2-F</t>
  </si>
  <si>
    <t>5-300000-5-F</t>
  </si>
  <si>
    <t>7-030104-1-M</t>
  </si>
  <si>
    <t>5-420101-7-F</t>
  </si>
  <si>
    <t>7-141901-1-M</t>
  </si>
  <si>
    <t>7-110701-7-M</t>
  </si>
  <si>
    <t>18-512001-7-F</t>
  </si>
  <si>
    <t>5-131202-7-F</t>
  </si>
  <si>
    <t>5-430104-7-M</t>
  </si>
  <si>
    <t>5-512207-5-F</t>
  </si>
  <si>
    <t>5-230101-7-M</t>
  </si>
  <si>
    <t>5-430104-2-M</t>
  </si>
  <si>
    <t>5-141901-7-M</t>
  </si>
  <si>
    <t>5-310505-5-F</t>
  </si>
  <si>
    <t>5-540101-7-M</t>
  </si>
  <si>
    <t>7-510204-7-F</t>
  </si>
  <si>
    <t>5-400501-5-F</t>
  </si>
  <si>
    <t>5-110701-2-M</t>
  </si>
  <si>
    <t>5-144201-7-M</t>
  </si>
  <si>
    <t>7-520301-7-F</t>
  </si>
  <si>
    <t>5-090102-7-F</t>
  </si>
  <si>
    <t>5-513102-7-F</t>
  </si>
  <si>
    <t>7-440701-5-F</t>
  </si>
  <si>
    <t>5-110701-4-M</t>
  </si>
  <si>
    <t>7-310501-1-M</t>
  </si>
  <si>
    <t>7-110101-1-M</t>
  </si>
  <si>
    <t>7-400501-7-F</t>
  </si>
  <si>
    <t>19-513818-8-F</t>
  </si>
  <si>
    <t>19-513818-9-F</t>
  </si>
  <si>
    <t>7-310501-1-F</t>
  </si>
  <si>
    <t>7-130401-9-F</t>
  </si>
  <si>
    <t>code</t>
  </si>
  <si>
    <t>count</t>
  </si>
  <si>
    <t>50.0512</t>
  </si>
  <si>
    <t>51.2299</t>
  </si>
  <si>
    <t>Master of Public Health (M.P.H.)</t>
  </si>
  <si>
    <t>51.3818</t>
  </si>
  <si>
    <t>51.0502</t>
  </si>
  <si>
    <t>Advanced Education in General Dentistry (P.M.C.)</t>
  </si>
  <si>
    <t>Psychiatric Mental Health Nurse Practitioner (P.M.C.)</t>
  </si>
  <si>
    <t>230101</t>
  </si>
  <si>
    <t>260101</t>
  </si>
  <si>
    <t>420101</t>
  </si>
  <si>
    <t>430104</t>
  </si>
  <si>
    <t>451001</t>
  </si>
  <si>
    <t>451101</t>
  </si>
  <si>
    <t>5-2-420101-7-F</t>
  </si>
  <si>
    <t>5-2-430104-7-F</t>
  </si>
  <si>
    <t>5-2-451101-7-F</t>
  </si>
  <si>
    <t>Digital Media Literacy</t>
  </si>
  <si>
    <t>19-513818-2-M</t>
  </si>
  <si>
    <t>5-131210-2-F</t>
  </si>
  <si>
    <t>5-140801-5-M</t>
  </si>
  <si>
    <t>5-141901-1-M</t>
  </si>
  <si>
    <t>5-144201-1-M</t>
  </si>
  <si>
    <t>5-160101-7-M</t>
  </si>
  <si>
    <t>5-2-450201-7-F</t>
  </si>
  <si>
    <t>5-300000-9-F</t>
  </si>
  <si>
    <t>5-430104-9-M</t>
  </si>
  <si>
    <t>5-440701-7-M</t>
  </si>
  <si>
    <t>5-513801-5-M</t>
  </si>
  <si>
    <t>5-513801-8-M</t>
  </si>
  <si>
    <t>5-520201-9-F</t>
  </si>
  <si>
    <t>5-520301-4-F</t>
  </si>
  <si>
    <t>5-540101-5-F</t>
  </si>
  <si>
    <t>7-030104-7-M</t>
  </si>
  <si>
    <t>7-090102-1-M</t>
  </si>
  <si>
    <t>7-130301-7-M</t>
  </si>
  <si>
    <t>7-131206-7-F</t>
  </si>
  <si>
    <t>7-141901-1-F</t>
  </si>
  <si>
    <t>7-144701-1-F</t>
  </si>
  <si>
    <t>7-144701-1-M</t>
  </si>
  <si>
    <t>7-144701-7-M</t>
  </si>
  <si>
    <t>7-430104-7-M</t>
  </si>
  <si>
    <t>7-510204-5-F</t>
  </si>
  <si>
    <t>7-510707-4-F</t>
  </si>
  <si>
    <t>7-513101-7-F</t>
  </si>
  <si>
    <t>7-513203-4-F</t>
  </si>
  <si>
    <t>13.1206</t>
  </si>
  <si>
    <t>M.A. in Teaching</t>
  </si>
  <si>
    <t>14.4701</t>
  </si>
  <si>
    <t>030104</t>
  </si>
  <si>
    <t>090102</t>
  </si>
  <si>
    <t>131210</t>
  </si>
  <si>
    <t>450201</t>
  </si>
  <si>
    <t>Anthropology</t>
  </si>
  <si>
    <t>540101</t>
  </si>
  <si>
    <t>History</t>
  </si>
  <si>
    <t>7-130501-7-F</t>
  </si>
  <si>
    <t>7-130501-9-F</t>
  </si>
  <si>
    <t>7-230101-7-F</t>
  </si>
  <si>
    <t>8-130401-EDAD-7-M</t>
  </si>
  <si>
    <t>8-130401-EDAD-9-M</t>
  </si>
  <si>
    <t>8-130401-EDAD-7-F</t>
  </si>
  <si>
    <t>8-130401-EDAD-9-F</t>
  </si>
  <si>
    <t>8-422805-PSSS-7-F</t>
  </si>
  <si>
    <t>8-513818-NUPM-5-F</t>
  </si>
  <si>
    <t>8-513818-NUPM-7-F</t>
  </si>
  <si>
    <t>090101</t>
  </si>
  <si>
    <t>110101</t>
  </si>
  <si>
    <t>110701</t>
  </si>
  <si>
    <t>131001</t>
  </si>
  <si>
    <t>131202</t>
  </si>
  <si>
    <t>140801</t>
  </si>
  <si>
    <t>140901</t>
  </si>
  <si>
    <t>141001</t>
  </si>
  <si>
    <t>141901</t>
  </si>
  <si>
    <t>143501</t>
  </si>
  <si>
    <t>144201</t>
  </si>
  <si>
    <t>160101</t>
  </si>
  <si>
    <t>240101</t>
  </si>
  <si>
    <t>270101</t>
  </si>
  <si>
    <t>300000</t>
  </si>
  <si>
    <t>302001</t>
  </si>
  <si>
    <t>310505</t>
  </si>
  <si>
    <t>380101</t>
  </si>
  <si>
    <t>400501</t>
  </si>
  <si>
    <t>400801</t>
  </si>
  <si>
    <t>440701</t>
  </si>
  <si>
    <t>450601</t>
  </si>
  <si>
    <t>500512</t>
  </si>
  <si>
    <t>500701</t>
  </si>
  <si>
    <t>500702</t>
  </si>
  <si>
    <t>500901</t>
  </si>
  <si>
    <t>510204</t>
  </si>
  <si>
    <t>512207</t>
  </si>
  <si>
    <t>513102</t>
  </si>
  <si>
    <t>513801</t>
  </si>
  <si>
    <t>520201</t>
  </si>
  <si>
    <t>520301</t>
  </si>
  <si>
    <t>522001</t>
  </si>
  <si>
    <t>130501</t>
  </si>
  <si>
    <t>301401</t>
  </si>
  <si>
    <t>440401</t>
  </si>
  <si>
    <t>130301</t>
  </si>
  <si>
    <t>130401</t>
  </si>
  <si>
    <t>130406</t>
  </si>
  <si>
    <t>131206</t>
  </si>
  <si>
    <t>139999</t>
  </si>
  <si>
    <t>144701</t>
  </si>
  <si>
    <t>310501</t>
  </si>
  <si>
    <t>510707</t>
  </si>
  <si>
    <t>512299</t>
  </si>
  <si>
    <t>512301</t>
  </si>
  <si>
    <t>513101</t>
  </si>
  <si>
    <t>513203</t>
  </si>
  <si>
    <t>513802</t>
  </si>
  <si>
    <t>521402</t>
  </si>
  <si>
    <t>422805</t>
  </si>
  <si>
    <t>510502</t>
  </si>
  <si>
    <t>510506</t>
  </si>
  <si>
    <t>513818</t>
  </si>
  <si>
    <t>510401</t>
  </si>
  <si>
    <t>512001</t>
  </si>
  <si>
    <t>512010</t>
  </si>
  <si>
    <t>18-510401-5-M</t>
  </si>
  <si>
    <t>5-230101-5-M</t>
  </si>
  <si>
    <t>5-240101-5-M</t>
  </si>
  <si>
    <t>5-260101-8-M</t>
  </si>
  <si>
    <t>5-380101-7-M</t>
  </si>
  <si>
    <t>5-500512-2-M</t>
  </si>
  <si>
    <t>5-500901-2-M</t>
  </si>
  <si>
    <t>8-510502-AEGD-7-M</t>
  </si>
  <si>
    <t>5-090101-8-F</t>
  </si>
  <si>
    <t>5-110701-2-F</t>
  </si>
  <si>
    <t>5-131202-5-F</t>
  </si>
  <si>
    <t>5-131210-8-F</t>
  </si>
  <si>
    <t>5-143501-7-F</t>
  </si>
  <si>
    <t>5-144201-1-F</t>
  </si>
  <si>
    <t>5-2-160101-7-F</t>
  </si>
  <si>
    <t>5-230101-8-F</t>
  </si>
  <si>
    <t>5-260101-9-F</t>
  </si>
  <si>
    <t>5-300000-4-F</t>
  </si>
  <si>
    <t>5-300000-8-F</t>
  </si>
  <si>
    <t>5-310505-2-F</t>
  </si>
  <si>
    <t>5-310505-8-F</t>
  </si>
  <si>
    <t>5-512207-8-F</t>
  </si>
  <si>
    <t>5-520301-2-F</t>
  </si>
  <si>
    <t>7-090102-7-F</t>
  </si>
  <si>
    <t>7-110101-1-F</t>
  </si>
  <si>
    <t>7-130301-2-F</t>
  </si>
  <si>
    <t>7-130301-5-F</t>
  </si>
  <si>
    <t>7-130401-5-F</t>
  </si>
  <si>
    <t>7-131206-9-F</t>
  </si>
  <si>
    <t>7-230101-9-F</t>
  </si>
  <si>
    <t>7-260101-1-F</t>
  </si>
  <si>
    <t>7-310501-8-F</t>
  </si>
  <si>
    <t>7-513802-2-F</t>
  </si>
  <si>
    <t>7-520301-1-F</t>
  </si>
  <si>
    <t>7-521402-9-F</t>
  </si>
  <si>
    <t>7-540101-7-F</t>
  </si>
  <si>
    <t>8-130401-EDAD-5-F</t>
  </si>
  <si>
    <t>44.0401</t>
  </si>
  <si>
    <t>Professional Leadership Strategies</t>
  </si>
  <si>
    <t>51.0506</t>
  </si>
  <si>
    <t>Endodontics (P.M.C.)</t>
  </si>
  <si>
    <t>51.0508</t>
  </si>
  <si>
    <t>Orthodontics (P.M.C.)</t>
  </si>
  <si>
    <t>Online Teaching and Learning</t>
  </si>
  <si>
    <t>Foreign Language and Literature</t>
  </si>
  <si>
    <t>Philosophy</t>
  </si>
  <si>
    <t>304401</t>
  </si>
  <si>
    <t>521399</t>
  </si>
  <si>
    <t>ENSC</t>
  </si>
  <si>
    <t>ACS</t>
  </si>
  <si>
    <t>MC</t>
  </si>
  <si>
    <t>CMIS</t>
  </si>
  <si>
    <t>MACS</t>
  </si>
  <si>
    <t>SPED</t>
  </si>
  <si>
    <t>EDEL</t>
  </si>
  <si>
    <t>ECED</t>
  </si>
  <si>
    <t>ENGC</t>
  </si>
  <si>
    <t>ENCP</t>
  </si>
  <si>
    <t>ENGE</t>
  </si>
  <si>
    <t>ENGM</t>
  </si>
  <si>
    <t>ENGI</t>
  </si>
  <si>
    <t>ENMR</t>
  </si>
  <si>
    <t>FL</t>
  </si>
  <si>
    <t>ENGL</t>
  </si>
  <si>
    <t>LIBS</t>
  </si>
  <si>
    <t>BIOL</t>
  </si>
  <si>
    <t>MAMS</t>
  </si>
  <si>
    <t>INTG</t>
  </si>
  <si>
    <t>INTL</t>
  </si>
  <si>
    <t>GEOG</t>
  </si>
  <si>
    <t>EXSI</t>
  </si>
  <si>
    <t>PHIL</t>
  </si>
  <si>
    <t>CHEM</t>
  </si>
  <si>
    <t>PHYS</t>
  </si>
  <si>
    <t>PSYC</t>
  </si>
  <si>
    <t>CRJU</t>
  </si>
  <si>
    <t>SOCW</t>
  </si>
  <si>
    <t>ANTH</t>
  </si>
  <si>
    <t>ECON</t>
  </si>
  <si>
    <t>POLS</t>
  </si>
  <si>
    <t>SOC</t>
  </si>
  <si>
    <t>THDN</t>
  </si>
  <si>
    <t>ART</t>
  </si>
  <si>
    <t>ARTD</t>
  </si>
  <si>
    <t>MUS</t>
  </si>
  <si>
    <t>SLPA</t>
  </si>
  <si>
    <t>PBHE</t>
  </si>
  <si>
    <t>NUTR</t>
  </si>
  <si>
    <t>NURN</t>
  </si>
  <si>
    <t>NURS</t>
  </si>
  <si>
    <t>BSGE</t>
  </si>
  <si>
    <t>ACCT</t>
  </si>
  <si>
    <t>CONM</t>
  </si>
  <si>
    <t>HIST</t>
  </si>
  <si>
    <t>HEAL</t>
  </si>
  <si>
    <t>HIMS</t>
  </si>
  <si>
    <t>PLS</t>
  </si>
  <si>
    <t>MEST</t>
  </si>
  <si>
    <t>MIS</t>
  </si>
  <si>
    <t>CPSI</t>
  </si>
  <si>
    <t>CI</t>
  </si>
  <si>
    <t>EDAD</t>
  </si>
  <si>
    <t>HESA</t>
  </si>
  <si>
    <t>INST</t>
  </si>
  <si>
    <t>EDTE</t>
  </si>
  <si>
    <t>EDEQ</t>
  </si>
  <si>
    <t>ENEC</t>
  </si>
  <si>
    <t>MATH</t>
  </si>
  <si>
    <t>KIN</t>
  </si>
  <si>
    <t>PSGE</t>
  </si>
  <si>
    <t>CRJP</t>
  </si>
  <si>
    <t>PUBA</t>
  </si>
  <si>
    <t>ARTM</t>
  </si>
  <si>
    <t>SLP</t>
  </si>
  <si>
    <t>HCIM</t>
  </si>
  <si>
    <t>PHPS</t>
  </si>
  <si>
    <t>MPHL</t>
  </si>
  <si>
    <t>ARTC</t>
  </si>
  <si>
    <t>NTRD</t>
  </si>
  <si>
    <t>NURE</t>
  </si>
  <si>
    <t>NURH</t>
  </si>
  <si>
    <t>BSGN</t>
  </si>
  <si>
    <t>MARE</t>
  </si>
  <si>
    <t>PSSS</t>
  </si>
  <si>
    <t>AEGD</t>
  </si>
  <si>
    <t>SDME</t>
  </si>
  <si>
    <t>NUPM</t>
  </si>
  <si>
    <t>EDLE</t>
  </si>
  <si>
    <t>SDM</t>
  </si>
  <si>
    <t>PHRM</t>
  </si>
  <si>
    <t>NUDP</t>
  </si>
  <si>
    <t>ITOL</t>
  </si>
  <si>
    <t>ITWB</t>
  </si>
  <si>
    <t>CSPA</t>
  </si>
  <si>
    <t>18-510401-2-F</t>
  </si>
  <si>
    <t>18-510401-5-F</t>
  </si>
  <si>
    <t>18-510401-8-M</t>
  </si>
  <si>
    <t>18-512001-4-F</t>
  </si>
  <si>
    <t>18-512001-5-M</t>
  </si>
  <si>
    <t>19-513818-9-M</t>
  </si>
  <si>
    <t>5-030104-8-M</t>
  </si>
  <si>
    <t>5-090102-4-M</t>
  </si>
  <si>
    <t>5-131202-2-F</t>
  </si>
  <si>
    <t>5-131210-7-M</t>
  </si>
  <si>
    <t>5-141001-2-M</t>
  </si>
  <si>
    <t>5-141001-8-M</t>
  </si>
  <si>
    <t>5-160101-2-F</t>
  </si>
  <si>
    <t>5-2-310505-7-F</t>
  </si>
  <si>
    <t>5-2-420101-7-M</t>
  </si>
  <si>
    <t>5-2-500701-7-F</t>
  </si>
  <si>
    <t>5-260101-4-M</t>
  </si>
  <si>
    <t>5-300000-2-F</t>
  </si>
  <si>
    <t>5-300000-8-M</t>
  </si>
  <si>
    <t>5-302001-4-F</t>
  </si>
  <si>
    <t>5-302001-5-F</t>
  </si>
  <si>
    <t>5-304401-7-F</t>
  </si>
  <si>
    <t>5-304401-7-M</t>
  </si>
  <si>
    <t>5-310505-4-F</t>
  </si>
  <si>
    <t>5-310505-9-F</t>
  </si>
  <si>
    <t>5-310505-9-M</t>
  </si>
  <si>
    <t>5-400501-1-F</t>
  </si>
  <si>
    <t>5-400501-2-F</t>
  </si>
  <si>
    <t>5-400501-8-F</t>
  </si>
  <si>
    <t>5-430104-2-F</t>
  </si>
  <si>
    <t>5-440701-5-M</t>
  </si>
  <si>
    <t>5-450201-5-F</t>
  </si>
  <si>
    <t>5-450601-7-F</t>
  </si>
  <si>
    <t>5-451101-8-M</t>
  </si>
  <si>
    <t>5-500512-5-M</t>
  </si>
  <si>
    <t>5-500701-5-M</t>
  </si>
  <si>
    <t>5-500702-5-F</t>
  </si>
  <si>
    <t>5-500702-5-M</t>
  </si>
  <si>
    <t>5-510204-2-F</t>
  </si>
  <si>
    <t>5-510204-7-M</t>
  </si>
  <si>
    <t>5-510204-9-F</t>
  </si>
  <si>
    <t>5-513801-3-F</t>
  </si>
  <si>
    <t>5-513801-4-M</t>
  </si>
  <si>
    <t>5-520301-5-F</t>
  </si>
  <si>
    <t>5-520301-9-F</t>
  </si>
  <si>
    <t>5-540101-2-F</t>
  </si>
  <si>
    <t>5-540101-5-M</t>
  </si>
  <si>
    <t>5-540101-8-M</t>
  </si>
  <si>
    <t>5-540101-9-F</t>
  </si>
  <si>
    <t>6-301401-HIMS-7-M</t>
  </si>
  <si>
    <t>7-090102-1-F</t>
  </si>
  <si>
    <t>7-110101-7-M</t>
  </si>
  <si>
    <t>7-130301-9-M</t>
  </si>
  <si>
    <t>7-130401-2-M</t>
  </si>
  <si>
    <t>7-130401-8-F</t>
  </si>
  <si>
    <t>7-130406-9-F</t>
  </si>
  <si>
    <t>7-131206-5-M</t>
  </si>
  <si>
    <t>7-230101-5-F</t>
  </si>
  <si>
    <t>7-230101-7-M</t>
  </si>
  <si>
    <t>7-230101-8-F</t>
  </si>
  <si>
    <t>7-260101-1-M</t>
  </si>
  <si>
    <t>7-260101-2-F</t>
  </si>
  <si>
    <t>7-270101-1-F</t>
  </si>
  <si>
    <t>7-300000-7-F</t>
  </si>
  <si>
    <t>7-304401-7-F</t>
  </si>
  <si>
    <t>7-304401-7-M</t>
  </si>
  <si>
    <t>7-430104-9-M</t>
  </si>
  <si>
    <t>7-440401-9-F</t>
  </si>
  <si>
    <t>7-440701-9-F</t>
  </si>
  <si>
    <t>7-451101-1-M</t>
  </si>
  <si>
    <t>7-500702-1-F</t>
  </si>
  <si>
    <t>7-500702-7-F</t>
  </si>
  <si>
    <t>7-510707-5-M</t>
  </si>
  <si>
    <t>7-510707-9-M</t>
  </si>
  <si>
    <t>7-512010-1-F</t>
  </si>
  <si>
    <t>7-512010-1-M</t>
  </si>
  <si>
    <t>7-512299-1-M</t>
  </si>
  <si>
    <t>7-512301-1-F</t>
  </si>
  <si>
    <t>7-513101-7-M</t>
  </si>
  <si>
    <t>7-513203-7-M</t>
  </si>
  <si>
    <t>7-513203-9-F</t>
  </si>
  <si>
    <t>7-513802-9-F</t>
  </si>
  <si>
    <t>7-520301-9-F</t>
  </si>
  <si>
    <t>7-520301-9-M</t>
  </si>
  <si>
    <t>7-521399-1-F</t>
  </si>
  <si>
    <t>7-521399-1-M</t>
  </si>
  <si>
    <t>7-521399-2-F</t>
  </si>
  <si>
    <t>7-521399-2-M</t>
  </si>
  <si>
    <t>7-521399-4-F</t>
  </si>
  <si>
    <t>7-521399-4-M</t>
  </si>
  <si>
    <t>7-521399-5-F</t>
  </si>
  <si>
    <t>7-521399-5-M</t>
  </si>
  <si>
    <t>7-521399-7-F</t>
  </si>
  <si>
    <t>7-521399-7-M</t>
  </si>
  <si>
    <t>7-521399-8-F</t>
  </si>
  <si>
    <t>7-521399-8-M</t>
  </si>
  <si>
    <t>7-521399-9-F</t>
  </si>
  <si>
    <t>7-521399-9-M</t>
  </si>
  <si>
    <t>7-521402-7-M</t>
  </si>
  <si>
    <t>8-130401-EDAD-2-F</t>
  </si>
  <si>
    <t>8-422805-PSSS-2-F</t>
  </si>
  <si>
    <t>data level</t>
  </si>
  <si>
    <t>2024 cip</t>
  </si>
  <si>
    <t>major</t>
  </si>
  <si>
    <t>template level</t>
  </si>
  <si>
    <t>terminated</t>
  </si>
  <si>
    <t>30.4401</t>
  </si>
  <si>
    <t>B.A. and B.S. in Geography and GIS</t>
  </si>
  <si>
    <t>Data</t>
  </si>
  <si>
    <t>CIP Compare - Current yr to Prior Yr</t>
  </si>
  <si>
    <t>M.S. in Mass Communications/Media Studies</t>
  </si>
  <si>
    <t>52.1399</t>
  </si>
  <si>
    <t>Exercise Science</t>
  </si>
  <si>
    <t>Art</t>
  </si>
  <si>
    <t>Healthcare Informatics</t>
  </si>
  <si>
    <t>Baccalaureate second majors total</t>
  </si>
  <si>
    <t>Second majors</t>
  </si>
  <si>
    <t>Total all second majors</t>
  </si>
  <si>
    <t>DMLC</t>
  </si>
  <si>
    <t>ITDS</t>
  </si>
  <si>
    <t>ITEG</t>
  </si>
  <si>
    <t>ENTC</t>
  </si>
  <si>
    <t>307001</t>
  </si>
  <si>
    <t>DSCI</t>
  </si>
  <si>
    <t>500912</t>
  </si>
  <si>
    <t>MUVP</t>
  </si>
  <si>
    <t>430406</t>
  </si>
  <si>
    <t>FORS</t>
  </si>
  <si>
    <t>ACCM</t>
  </si>
  <si>
    <t>510508</t>
  </si>
  <si>
    <t>SDMO</t>
  </si>
  <si>
    <t>2025 cip</t>
  </si>
  <si>
    <t>FY2025 Completions</t>
  </si>
  <si>
    <t>yes 3/17</t>
  </si>
  <si>
    <t>1/20</t>
  </si>
  <si>
    <t>Emerging Technologies</t>
  </si>
  <si>
    <t>Instructional Design</t>
  </si>
  <si>
    <t>Data Science</t>
  </si>
  <si>
    <t>30.7001</t>
  </si>
  <si>
    <t>M.S. in Electrical  Engineering</t>
  </si>
  <si>
    <t>43.0406</t>
  </si>
  <si>
    <t>Forensic Sciences</t>
  </si>
  <si>
    <t>18-510401-1-M</t>
  </si>
  <si>
    <t>18-510401-2-M</t>
  </si>
  <si>
    <t>18-510401-8-F</t>
  </si>
  <si>
    <t>18-512001-2-M</t>
  </si>
  <si>
    <t>18-512001-4-M</t>
  </si>
  <si>
    <t>19-513818-5-M</t>
  </si>
  <si>
    <t>5-030104-5-F</t>
  </si>
  <si>
    <t>5-030104-8-F</t>
  </si>
  <si>
    <t>5-090101-5-M</t>
  </si>
  <si>
    <t>5-090102-1-F</t>
  </si>
  <si>
    <t>5-090102-2-F</t>
  </si>
  <si>
    <t>5-090102-2-M</t>
  </si>
  <si>
    <t>5-090102-8-F</t>
  </si>
  <si>
    <t>5-090102-9-F</t>
  </si>
  <si>
    <t>5-090102-9-M</t>
  </si>
  <si>
    <t>5-110101-5-M</t>
  </si>
  <si>
    <t>5-110701-1-F</t>
  </si>
  <si>
    <t>5-110701-5-M</t>
  </si>
  <si>
    <t>5-110701-9-M</t>
  </si>
  <si>
    <t>5-131001-3-M</t>
  </si>
  <si>
    <t>5-131001-8-F</t>
  </si>
  <si>
    <t>5-131202-4-F</t>
  </si>
  <si>
    <t>5-131202-5-M</t>
  </si>
  <si>
    <t>5-131202-9-F</t>
  </si>
  <si>
    <t>5-140801-1-M</t>
  </si>
  <si>
    <t>5-140901-2-M</t>
  </si>
  <si>
    <t>5-140901-4-F</t>
  </si>
  <si>
    <t>5-140901-5-M</t>
  </si>
  <si>
    <t>5-141001-9-M</t>
  </si>
  <si>
    <t>5-141901-4-M</t>
  </si>
  <si>
    <t>5-141901-9-M</t>
  </si>
  <si>
    <t>5-144201-2-M</t>
  </si>
  <si>
    <t>5-144201-4-M</t>
  </si>
  <si>
    <t>5-144201-5-F</t>
  </si>
  <si>
    <t>5-160101-5-F</t>
  </si>
  <si>
    <t>5-2-090102-5-F</t>
  </si>
  <si>
    <t>5-2-160101-2-F</t>
  </si>
  <si>
    <t>5-2-302001-7-F</t>
  </si>
  <si>
    <t>5-2-304401-4-M</t>
  </si>
  <si>
    <t>5-2-380101-2-M</t>
  </si>
  <si>
    <t>5-2-430104-7-M</t>
  </si>
  <si>
    <t>5-2-450201-7-M</t>
  </si>
  <si>
    <t>5-2-450601-4-M</t>
  </si>
  <si>
    <t>5-2-450601-7-F</t>
  </si>
  <si>
    <t>5-2-450601-7-M</t>
  </si>
  <si>
    <t>5-2-450601-8-F</t>
  </si>
  <si>
    <t>5-2-451101-7-M</t>
  </si>
  <si>
    <t>5-2-513102-7-F</t>
  </si>
  <si>
    <t>5-2-540101-7-F</t>
  </si>
  <si>
    <t>5-230101-8-M</t>
  </si>
  <si>
    <t>5-230101-9-F</t>
  </si>
  <si>
    <t>5-260101-1-M</t>
  </si>
  <si>
    <t>5-270101-2-F</t>
  </si>
  <si>
    <t>5-270101-4-M</t>
  </si>
  <si>
    <t>5-300000-2-M</t>
  </si>
  <si>
    <t>5-300000-3-F</t>
  </si>
  <si>
    <t>5-302001-1-M</t>
  </si>
  <si>
    <t>5-302001-2-F</t>
  </si>
  <si>
    <t>5-310505-8-M</t>
  </si>
  <si>
    <t>5-400501-2-M</t>
  </si>
  <si>
    <t>5-400501-4-F</t>
  </si>
  <si>
    <t>5-400501-8-M</t>
  </si>
  <si>
    <t>5-400501-9-M</t>
  </si>
  <si>
    <t>5-400801-1-F</t>
  </si>
  <si>
    <t>5-400801-2-M</t>
  </si>
  <si>
    <t>5-400801-7-F</t>
  </si>
  <si>
    <t>5-420101-1-M</t>
  </si>
  <si>
    <t>5-430104-4-F</t>
  </si>
  <si>
    <t>5-430104-6-F</t>
  </si>
  <si>
    <t>5-430104-8-F</t>
  </si>
  <si>
    <t>5-430104-9-F</t>
  </si>
  <si>
    <t>5-440701-4-F</t>
  </si>
  <si>
    <t>5-450201-5-M</t>
  </si>
  <si>
    <t>5-450201-6-F</t>
  </si>
  <si>
    <t>5-451001-1-F</t>
  </si>
  <si>
    <t>5-451001-8-F</t>
  </si>
  <si>
    <t>5-451001-9-F</t>
  </si>
  <si>
    <t>5-451001-9-M</t>
  </si>
  <si>
    <t>5-451101-2-F</t>
  </si>
  <si>
    <t>5-451101-9-F</t>
  </si>
  <si>
    <t>5-500512-2-F</t>
  </si>
  <si>
    <t>5-500512-8-F</t>
  </si>
  <si>
    <t>5-500701-2-M</t>
  </si>
  <si>
    <t>5-500701-5-F</t>
  </si>
  <si>
    <t>5-500701-8-F</t>
  </si>
  <si>
    <t>5-500901-2-F</t>
  </si>
  <si>
    <t>5-500901-8-F</t>
  </si>
  <si>
    <t>5-500901-8-M</t>
  </si>
  <si>
    <t>5-500901-9-M</t>
  </si>
  <si>
    <t>5-510204-2-M</t>
  </si>
  <si>
    <t>5-512207-2-M</t>
  </si>
  <si>
    <t>5-512207-4-F</t>
  </si>
  <si>
    <t>5-512207-8-M</t>
  </si>
  <si>
    <t>5-513102-2-F</t>
  </si>
  <si>
    <t>5-513102-7-M</t>
  </si>
  <si>
    <t>5-513801-9-F</t>
  </si>
  <si>
    <t>5-513801-9-M</t>
  </si>
  <si>
    <t>5-520201-1-F</t>
  </si>
  <si>
    <t>5-520201-3-M</t>
  </si>
  <si>
    <t>5-520201-6-F</t>
  </si>
  <si>
    <t>5-520201-6-M</t>
  </si>
  <si>
    <t>5-520301-1-M</t>
  </si>
  <si>
    <t>5-520301-2-M</t>
  </si>
  <si>
    <t>5-520301-4-M</t>
  </si>
  <si>
    <t>5-520301-8-F</t>
  </si>
  <si>
    <t>5-522001-5-F</t>
  </si>
  <si>
    <t>5-522001-7-F</t>
  </si>
  <si>
    <t>6-090102-DMLC-7-F</t>
  </si>
  <si>
    <t>6-130501-ITDS-7-F</t>
  </si>
  <si>
    <t>6-130501-ITDS-9-F</t>
  </si>
  <si>
    <t>6-130501-ITEG-2-F</t>
  </si>
  <si>
    <t>6-130501-ITOL-9-M</t>
  </si>
  <si>
    <t>6-130501-ITWB-7-F</t>
  </si>
  <si>
    <t>6-230101-ENTC-7-F</t>
  </si>
  <si>
    <t>6-307001-DSCI-1-F</t>
  </si>
  <si>
    <t>6-307001-DSCI-1-M</t>
  </si>
  <si>
    <t>6-440401-PLS-5-F</t>
  </si>
  <si>
    <t>6-440401-PLS-7-F</t>
  </si>
  <si>
    <t>6-500912-MUVP-9-F</t>
  </si>
  <si>
    <t>7-030104-4-M</t>
  </si>
  <si>
    <t>7-030104-9-M</t>
  </si>
  <si>
    <t>7-090101-1-M</t>
  </si>
  <si>
    <t>7-090101-9-F</t>
  </si>
  <si>
    <t>7-090102-5-M</t>
  </si>
  <si>
    <t>7-090102-7-M</t>
  </si>
  <si>
    <t>7-110701-9-M</t>
  </si>
  <si>
    <t>7-130301-1-F</t>
  </si>
  <si>
    <t>7-130301-8-F</t>
  </si>
  <si>
    <t>7-130401-5-M</t>
  </si>
  <si>
    <t>7-130401-8-M</t>
  </si>
  <si>
    <t>7-130406-9-M</t>
  </si>
  <si>
    <t>7-130501-5-F</t>
  </si>
  <si>
    <t>7-131206-4-F</t>
  </si>
  <si>
    <t>7-131206-7-M</t>
  </si>
  <si>
    <t>7-139999-4-F</t>
  </si>
  <si>
    <t>7-139999-5-F</t>
  </si>
  <si>
    <t>7-141001-7-M</t>
  </si>
  <si>
    <t>7-144701-4-M</t>
  </si>
  <si>
    <t>7-2-510707-7-F</t>
  </si>
  <si>
    <t>7-230101-1-M</t>
  </si>
  <si>
    <t>7-230101-6-M</t>
  </si>
  <si>
    <t>7-260101-3-F</t>
  </si>
  <si>
    <t>7-260101-7-M</t>
  </si>
  <si>
    <t>7-260101-9-F</t>
  </si>
  <si>
    <t>7-270101-1-M</t>
  </si>
  <si>
    <t>7-270101-7-F</t>
  </si>
  <si>
    <t>7-270101-9-M</t>
  </si>
  <si>
    <t>7-300000-1-F</t>
  </si>
  <si>
    <t>7-300000-5-F</t>
  </si>
  <si>
    <t>7-300000-7-M</t>
  </si>
  <si>
    <t>7-300000-9-F</t>
  </si>
  <si>
    <t>7-304401-1-F</t>
  </si>
  <si>
    <t>7-304401-9-F</t>
  </si>
  <si>
    <t>7-310501-2-F</t>
  </si>
  <si>
    <t>7-310501-4-M</t>
  </si>
  <si>
    <t>7-420101-1-M</t>
  </si>
  <si>
    <t>7-420101-8-M</t>
  </si>
  <si>
    <t>7-420101-9-F</t>
  </si>
  <si>
    <t>7-420101-9-M</t>
  </si>
  <si>
    <t>7-430104-2-M</t>
  </si>
  <si>
    <t>7-430104-5-F</t>
  </si>
  <si>
    <t>7-430104-7-F</t>
  </si>
  <si>
    <t>7-430406-7-F</t>
  </si>
  <si>
    <t>7-440401-2-F</t>
  </si>
  <si>
    <t>7-440701-5-M</t>
  </si>
  <si>
    <t>7-440701-9-M</t>
  </si>
  <si>
    <t>7-451101-1-F</t>
  </si>
  <si>
    <t>7-451101-7-M</t>
  </si>
  <si>
    <t>7-500702-7-M</t>
  </si>
  <si>
    <t>7-500702-9-F</t>
  </si>
  <si>
    <t>7-500702-9-M</t>
  </si>
  <si>
    <t>7-500901-1-M</t>
  </si>
  <si>
    <t>7-500901-5-M</t>
  </si>
  <si>
    <t>7-500901-7-F</t>
  </si>
  <si>
    <t>7-500901-8-M</t>
  </si>
  <si>
    <t>7-500901-9-F</t>
  </si>
  <si>
    <t>7-510707-2-F</t>
  </si>
  <si>
    <t>7-510707-4-M</t>
  </si>
  <si>
    <t>7-512010-9-M</t>
  </si>
  <si>
    <t>7-512299-1-F</t>
  </si>
  <si>
    <t>7-512299-2-M</t>
  </si>
  <si>
    <t>7-512299-7-F</t>
  </si>
  <si>
    <t>7-512299-7-M</t>
  </si>
  <si>
    <t>7-512299-9-F</t>
  </si>
  <si>
    <t>7-512301-5-F</t>
  </si>
  <si>
    <t>7-512301-9-F</t>
  </si>
  <si>
    <t>7-513101-1-F</t>
  </si>
  <si>
    <t>7-513101-2-M</t>
  </si>
  <si>
    <t>7-513101-8-F</t>
  </si>
  <si>
    <t>7-513101-9-M</t>
  </si>
  <si>
    <t>7-513203-4-M</t>
  </si>
  <si>
    <t>7-513203-5-F</t>
  </si>
  <si>
    <t>7-513802-5-F</t>
  </si>
  <si>
    <t>7-513802-7-M</t>
  </si>
  <si>
    <t>7-520301-1-M</t>
  </si>
  <si>
    <t>7-520301-4-F</t>
  </si>
  <si>
    <t>7-520301-5-M</t>
  </si>
  <si>
    <t>7-521402-1-M</t>
  </si>
  <si>
    <t>7-521402-8-F</t>
  </si>
  <si>
    <t>7-521402-9-M</t>
  </si>
  <si>
    <t>7-540101-2-M</t>
  </si>
  <si>
    <t>8-130401-EDAD-8-F</t>
  </si>
  <si>
    <t>8-422805-PSSS-7-M</t>
  </si>
  <si>
    <t>8-422805-PSSS-8-F</t>
  </si>
  <si>
    <t>8-510502-AEGD-7-F</t>
  </si>
  <si>
    <t>8-510506-SDME-7-F</t>
  </si>
  <si>
    <t>8-510506-SDME-7-M</t>
  </si>
  <si>
    <t>8-510508-SDMO-2-F</t>
  </si>
  <si>
    <t>8-510508-SDMO-4-M</t>
  </si>
  <si>
    <t>8-510508-SDMO-7-M</t>
  </si>
  <si>
    <t>8-513818-NUPM-6-F</t>
  </si>
  <si>
    <t>8-513818-NUPM-7-M</t>
  </si>
  <si>
    <t>Mass Communications</t>
  </si>
  <si>
    <t>International Studies</t>
  </si>
  <si>
    <t>Geography</t>
  </si>
  <si>
    <t>Economics</t>
  </si>
  <si>
    <t>Nutrition</t>
  </si>
  <si>
    <t xml:space="preserve">Non-resident </t>
  </si>
  <si>
    <t>52.0101</t>
  </si>
  <si>
    <t>yes 6/22</t>
  </si>
  <si>
    <t>yes 5/22</t>
  </si>
  <si>
    <t>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</si>
</sst>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Dialog"/>
    </font>
    <font>
      <b/>
      <sz val="11"/>
      <color theme="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49" fontId="1" fillId="0" borderId="8" xfId="0" applyNumberFormat="1" applyFont="1" applyBorder="1" applyAlignment="1">
      <alignment vertical="top"/>
    </xf>
    <xf numFmtId="0" fontId="1" fillId="0" borderId="11" xfId="0" applyFont="1" applyBorder="1" applyAlignment="1">
      <alignment vertical="top"/>
    </xf>
    <xf numFmtId="1" fontId="1" fillId="0" borderId="0" xfId="0" applyNumberFormat="1" applyFont="1"/>
    <xf numFmtId="49" fontId="1" fillId="0" borderId="13" xfId="0" applyNumberFormat="1" applyFont="1" applyBorder="1"/>
    <xf numFmtId="0" fontId="1" fillId="0" borderId="12" xfId="0" applyFont="1" applyBorder="1" applyAlignment="1">
      <alignment vertical="top"/>
    </xf>
    <xf numFmtId="49" fontId="1" fillId="0" borderId="13" xfId="0" applyNumberFormat="1" applyFont="1" applyBorder="1" applyAlignment="1">
      <alignment vertical="top"/>
    </xf>
    <xf numFmtId="49" fontId="1" fillId="0" borderId="10" xfId="0" applyNumberFormat="1" applyFont="1" applyBorder="1"/>
    <xf numFmtId="0" fontId="1" fillId="0" borderId="14" xfId="0" applyFont="1" applyBorder="1" applyAlignment="1">
      <alignment vertical="top"/>
    </xf>
    <xf numFmtId="1" fontId="1" fillId="0" borderId="7" xfId="0" applyNumberFormat="1" applyFont="1" applyBorder="1"/>
    <xf numFmtId="49" fontId="1" fillId="0" borderId="0" xfId="0" applyNumberFormat="1" applyFont="1"/>
    <xf numFmtId="49" fontId="1" fillId="0" borderId="7" xfId="0" applyNumberFormat="1" applyFont="1" applyBorder="1"/>
    <xf numFmtId="0" fontId="1" fillId="0" borderId="7" xfId="0" applyFont="1" applyBorder="1"/>
    <xf numFmtId="0" fontId="1" fillId="0" borderId="0" xfId="0" applyFont="1" applyAlignment="1">
      <alignment vertical="top"/>
    </xf>
    <xf numFmtId="1" fontId="1" fillId="0" borderId="8" xfId="0" applyNumberFormat="1" applyFont="1" applyBorder="1"/>
    <xf numFmtId="1" fontId="1" fillId="0" borderId="9" xfId="0" applyNumberFormat="1" applyFont="1" applyBorder="1"/>
    <xf numFmtId="1" fontId="1" fillId="0" borderId="11" xfId="0" applyNumberFormat="1" applyFont="1" applyBorder="1"/>
    <xf numFmtId="1" fontId="1" fillId="0" borderId="12" xfId="0" applyNumberFormat="1" applyFont="1" applyBorder="1"/>
    <xf numFmtId="1" fontId="1" fillId="0" borderId="10" xfId="0" applyNumberFormat="1" applyFont="1" applyBorder="1"/>
    <xf numFmtId="1" fontId="2" fillId="0" borderId="2" xfId="0" applyNumberFormat="1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49" fontId="2" fillId="2" borderId="6" xfId="0" applyNumberFormat="1" applyFont="1" applyFill="1" applyBorder="1"/>
    <xf numFmtId="49" fontId="1" fillId="0" borderId="8" xfId="0" applyNumberFormat="1" applyFont="1" applyBorder="1"/>
    <xf numFmtId="49" fontId="1" fillId="0" borderId="11" xfId="0" applyNumberFormat="1" applyFont="1" applyBorder="1"/>
    <xf numFmtId="1" fontId="2" fillId="0" borderId="11" xfId="0" applyNumberFormat="1" applyFont="1" applyBorder="1"/>
    <xf numFmtId="49" fontId="1" fillId="0" borderId="12" xfId="0" applyNumberFormat="1" applyFont="1" applyBorder="1"/>
    <xf numFmtId="1" fontId="2" fillId="0" borderId="12" xfId="0" applyNumberFormat="1" applyFont="1" applyBorder="1"/>
    <xf numFmtId="49" fontId="2" fillId="2" borderId="2" xfId="0" applyNumberFormat="1" applyFont="1" applyFill="1" applyBorder="1" applyAlignment="1">
      <alignment horizontal="right"/>
    </xf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1" fillId="0" borderId="13" xfId="0" applyNumberFormat="1" applyFont="1" applyBorder="1"/>
    <xf numFmtId="1" fontId="2" fillId="2" borderId="6" xfId="0" applyNumberFormat="1" applyFont="1" applyFill="1" applyBorder="1"/>
    <xf numFmtId="1" fontId="1" fillId="0" borderId="6" xfId="0" applyNumberFormat="1" applyFont="1" applyBorder="1"/>
    <xf numFmtId="1" fontId="1" fillId="0" borderId="2" xfId="0" applyNumberFormat="1" applyFont="1" applyBorder="1"/>
    <xf numFmtId="1" fontId="1" fillId="0" borderId="1" xfId="0" applyNumberFormat="1" applyFont="1" applyBorder="1"/>
    <xf numFmtId="1" fontId="2" fillId="0" borderId="3" xfId="0" applyNumberFormat="1" applyFont="1" applyBorder="1"/>
    <xf numFmtId="1" fontId="2" fillId="0" borderId="5" xfId="0" applyNumberFormat="1" applyFont="1" applyBorder="1"/>
    <xf numFmtId="1" fontId="2" fillId="0" borderId="15" xfId="0" applyNumberFormat="1" applyFont="1" applyBorder="1"/>
    <xf numFmtId="49" fontId="1" fillId="0" borderId="0" xfId="0" applyNumberFormat="1" applyFont="1" applyAlignment="1">
      <alignment vertical="top"/>
    </xf>
    <xf numFmtId="1" fontId="2" fillId="2" borderId="4" xfId="0" applyNumberFormat="1" applyFont="1" applyFill="1" applyBorder="1"/>
    <xf numFmtId="0" fontId="1" fillId="0" borderId="9" xfId="0" applyFont="1" applyBorder="1"/>
    <xf numFmtId="49" fontId="1" fillId="0" borderId="9" xfId="0" applyNumberFormat="1" applyFont="1" applyBorder="1"/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49" fontId="2" fillId="0" borderId="15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horizontal="center" vertical="center"/>
    </xf>
    <xf numFmtId="1" fontId="1" fillId="0" borderId="14" xfId="0" applyNumberFormat="1" applyFont="1" applyBorder="1"/>
    <xf numFmtId="0" fontId="1" fillId="0" borderId="13" xfId="0" applyFont="1" applyBorder="1"/>
    <xf numFmtId="49" fontId="0" fillId="0" borderId="0" xfId="0" applyNumberFormat="1"/>
    <xf numFmtId="49" fontId="0" fillId="3" borderId="0" xfId="0" applyNumberFormat="1" applyFill="1"/>
    <xf numFmtId="17" fontId="1" fillId="0" borderId="0" xfId="0" applyNumberFormat="1" applyFont="1"/>
    <xf numFmtId="16" fontId="1" fillId="0" borderId="0" xfId="0" applyNumberFormat="1" applyFont="1"/>
    <xf numFmtId="0" fontId="1" fillId="0" borderId="11" xfId="0" applyFont="1" applyBorder="1"/>
    <xf numFmtId="49" fontId="1" fillId="0" borderId="6" xfId="0" applyNumberFormat="1" applyFont="1" applyBorder="1"/>
    <xf numFmtId="0" fontId="1" fillId="0" borderId="2" xfId="0" applyFont="1" applyBorder="1"/>
    <xf numFmtId="0" fontId="1" fillId="0" borderId="11" xfId="0" applyFont="1" applyBorder="1" applyAlignment="1">
      <alignment vertical="center" wrapText="1"/>
    </xf>
    <xf numFmtId="0" fontId="0" fillId="0" borderId="0" xfId="0" applyAlignment="1">
      <alignment horizontal="left"/>
    </xf>
    <xf numFmtId="1" fontId="1" fillId="2" borderId="6" xfId="0" applyNumberFormat="1" applyFont="1" applyFill="1" applyBorder="1"/>
    <xf numFmtId="1" fontId="1" fillId="2" borderId="1" xfId="0" applyNumberFormat="1" applyFont="1" applyFill="1" applyBorder="1"/>
    <xf numFmtId="1" fontId="1" fillId="2" borderId="4" xfId="0" applyNumberFormat="1" applyFont="1" applyFill="1" applyBorder="1"/>
    <xf numFmtId="1" fontId="2" fillId="0" borderId="4" xfId="0" applyNumberFormat="1" applyFont="1" applyBorder="1"/>
    <xf numFmtId="49" fontId="0" fillId="4" borderId="0" xfId="0" applyNumberFormat="1" applyFill="1"/>
    <xf numFmtId="0" fontId="4" fillId="0" borderId="0" xfId="0" applyFont="1" applyAlignment="1">
      <alignment horizontal="right"/>
    </xf>
    <xf numFmtId="49" fontId="5" fillId="0" borderId="0" xfId="0" applyNumberFormat="1" applyFont="1"/>
    <xf numFmtId="0" fontId="5" fillId="0" borderId="0" xfId="0" applyFont="1"/>
    <xf numFmtId="1" fontId="2" fillId="0" borderId="14" xfId="0" applyNumberFormat="1" applyFont="1" applyBorder="1"/>
    <xf numFmtId="1" fontId="1" fillId="2" borderId="7" xfId="0" applyNumberFormat="1" applyFont="1" applyFill="1" applyBorder="1"/>
    <xf numFmtId="1" fontId="1" fillId="2" borderId="10" xfId="0" applyNumberFormat="1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 applyProtection="1">
      <alignment horizontal="center" vertical="top" wrapText="1"/>
      <protection locked="0"/>
    </xf>
    <xf numFmtId="49" fontId="2" fillId="2" borderId="6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ill="1"/>
    <xf numFmtId="49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!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50"/>
  <sheetViews>
    <sheetView showGridLines="0" tabSelected="1" zoomScale="85" zoomScaleNormal="85" zoomScalePageLayoutView="85" workbookViewId="0">
      <selection activeCell="A3" sqref="A3:A48"/>
    </sheetView>
  </sheetViews>
  <sheetFormatPr defaultColWidth="11.42578125" defaultRowHeight="15"/>
  <cols>
    <col min="1" max="1" width="15.7109375" style="1" customWidth="1"/>
    <col min="2" max="2" width="9.85546875" style="11" customWidth="1"/>
    <col min="3" max="3" width="54.140625" style="1" bestFit="1" customWidth="1"/>
    <col min="4" max="24" width="8" style="1" customWidth="1"/>
    <col min="25" max="16384" width="11.42578125" style="1"/>
  </cols>
  <sheetData>
    <row r="1" spans="1:24" ht="45" customHeight="1">
      <c r="A1" s="77" t="s">
        <v>752</v>
      </c>
      <c r="B1" s="78"/>
      <c r="C1" s="79"/>
      <c r="D1" s="72" t="s">
        <v>979</v>
      </c>
      <c r="E1" s="73"/>
      <c r="F1" s="72" t="s">
        <v>18</v>
      </c>
      <c r="G1" s="73"/>
      <c r="H1" s="72" t="s">
        <v>19</v>
      </c>
      <c r="I1" s="73"/>
      <c r="J1" s="72" t="s">
        <v>20</v>
      </c>
      <c r="K1" s="73"/>
      <c r="L1" s="72" t="s">
        <v>21</v>
      </c>
      <c r="M1" s="73"/>
      <c r="N1" s="72" t="s">
        <v>17</v>
      </c>
      <c r="O1" s="73"/>
      <c r="P1" s="72" t="s">
        <v>24</v>
      </c>
      <c r="Q1" s="73"/>
      <c r="R1" s="72" t="s">
        <v>25</v>
      </c>
      <c r="S1" s="73"/>
      <c r="T1" s="72" t="s">
        <v>26</v>
      </c>
      <c r="U1" s="73"/>
      <c r="V1" s="74" t="s">
        <v>23</v>
      </c>
      <c r="W1" s="75"/>
      <c r="X1" s="76"/>
    </row>
    <row r="2" spans="1:24">
      <c r="A2" s="46" t="s">
        <v>55</v>
      </c>
      <c r="B2" s="47" t="s">
        <v>27</v>
      </c>
      <c r="C2" s="48" t="s">
        <v>56</v>
      </c>
      <c r="D2" s="44" t="s">
        <v>5</v>
      </c>
      <c r="E2" s="45" t="s">
        <v>6</v>
      </c>
      <c r="F2" s="49" t="s">
        <v>5</v>
      </c>
      <c r="G2" s="45" t="s">
        <v>6</v>
      </c>
      <c r="H2" s="49" t="s">
        <v>5</v>
      </c>
      <c r="I2" s="49" t="s">
        <v>6</v>
      </c>
      <c r="J2" s="49" t="s">
        <v>5</v>
      </c>
      <c r="K2" s="49" t="s">
        <v>6</v>
      </c>
      <c r="L2" s="49" t="s">
        <v>5</v>
      </c>
      <c r="M2" s="49" t="s">
        <v>6</v>
      </c>
      <c r="N2" s="49" t="s">
        <v>5</v>
      </c>
      <c r="O2" s="49" t="s">
        <v>6</v>
      </c>
      <c r="P2" s="49" t="s">
        <v>5</v>
      </c>
      <c r="Q2" s="49" t="s">
        <v>6</v>
      </c>
      <c r="R2" s="49" t="s">
        <v>5</v>
      </c>
      <c r="S2" s="49" t="s">
        <v>6</v>
      </c>
      <c r="T2" s="49" t="s">
        <v>5</v>
      </c>
      <c r="U2" s="49" t="s">
        <v>6</v>
      </c>
      <c r="V2" s="49" t="s">
        <v>5</v>
      </c>
      <c r="W2" s="45" t="s">
        <v>6</v>
      </c>
      <c r="X2" s="49" t="s">
        <v>22</v>
      </c>
    </row>
    <row r="3" spans="1:24" ht="15" customHeight="1">
      <c r="A3" s="82" t="s">
        <v>38</v>
      </c>
      <c r="B3" s="2" t="s">
        <v>7</v>
      </c>
      <c r="C3" s="3" t="s">
        <v>60</v>
      </c>
      <c r="D3" s="16">
        <f>IFERROR(VLOOKUP("5-030104-1-M",data_code, 2,FALSE),0)</f>
        <v>0</v>
      </c>
      <c r="E3" s="17">
        <f>IFERROR(VLOOKUP("5-030104-1-F",data_code, 2,FALSE),0)</f>
        <v>0</v>
      </c>
      <c r="F3" s="16">
        <f>IFERROR(VLOOKUP("5-030104-2-M",data_code, 2,FALSE),0)</f>
        <v>0</v>
      </c>
      <c r="G3" s="17">
        <f>IFERROR(VLOOKUP("5-030104-2-F",data_code, 2,FALSE),0)</f>
        <v>0</v>
      </c>
      <c r="H3" s="15">
        <f>IFERROR(VLOOKUP("5-030104-3-M",data_code, 2,FALSE),0)</f>
        <v>0</v>
      </c>
      <c r="I3" s="17">
        <f>IFERROR(VLOOKUP("5-030104-3-F",data_code, 2,FALSE),0)</f>
        <v>0</v>
      </c>
      <c r="J3" s="15">
        <f>IFERROR(VLOOKUP("5-030104-4-M",data_code, 2,FALSE),0)</f>
        <v>0</v>
      </c>
      <c r="K3" s="17">
        <f>IFERROR(VLOOKUP("5-030104-4-F",data_code, 2,FALSE),0)</f>
        <v>0</v>
      </c>
      <c r="L3" s="16">
        <f>IFERROR(VLOOKUP("5-030104-5-M",data_code, 2,FALSE),0)</f>
        <v>0</v>
      </c>
      <c r="M3" s="17">
        <f>IFERROR(VLOOKUP("5-030104-5-F",data_code, 2,FALSE),0)</f>
        <v>2</v>
      </c>
      <c r="N3" s="16">
        <f>IFERROR(VLOOKUP("5-030104-6-M",data_code, 2,FALSE),0)</f>
        <v>0</v>
      </c>
      <c r="O3" s="17">
        <f>IFERROR(VLOOKUP("5-030104-6-F",data_code, 2,FALSE),0)</f>
        <v>0</v>
      </c>
      <c r="P3" s="16">
        <f>IFERROR(VLOOKUP("5-030104-7-M",data_code, 2,FALSE),0)</f>
        <v>3</v>
      </c>
      <c r="Q3" s="17">
        <f>IFERROR(VLOOKUP("5-030104-7-F",data_code, 2,FALSE),0)</f>
        <v>4</v>
      </c>
      <c r="R3" s="16">
        <f>IFERROR(VLOOKUP("5-030104-8-M",data_code, 2,FALSE),0)</f>
        <v>1</v>
      </c>
      <c r="S3" s="17">
        <f>IFERROR(VLOOKUP("5-030104-8-F",data_code, 2,FALSE),0)</f>
        <v>1</v>
      </c>
      <c r="T3" s="16">
        <f>IFERROR(VLOOKUP("5-030104-9-M",data_code, 2,FALSE),0)</f>
        <v>0</v>
      </c>
      <c r="U3" s="16">
        <f>IFERROR(VLOOKUP("5-030104-9-F",data_code, 2,FALSE),0)</f>
        <v>0</v>
      </c>
      <c r="V3" s="15">
        <f>SUMIF($D$2:$U$2,"Men",D3:U3)</f>
        <v>4</v>
      </c>
      <c r="W3" s="17">
        <f>SUMIF($D$2:$U$2,"Women",D3:U3)</f>
        <v>7</v>
      </c>
      <c r="X3" s="26">
        <f>SUM(V3:W3)</f>
        <v>11</v>
      </c>
    </row>
    <row r="4" spans="1:24">
      <c r="A4" s="83"/>
      <c r="B4" s="5" t="s">
        <v>8</v>
      </c>
      <c r="C4" s="6" t="s">
        <v>61</v>
      </c>
      <c r="D4" s="4">
        <f>IFERROR(VLOOKUP("5-090101-1-M",data_code, 2,FALSE),0)</f>
        <v>0</v>
      </c>
      <c r="E4" s="18">
        <f>IFERROR(VLOOKUP("5-090101-1-F",data_code, 2,FALSE),0)</f>
        <v>0</v>
      </c>
      <c r="F4" s="4">
        <f>IFERROR(VLOOKUP("5-090101-2-M",data_code, 2,FALSE),0)</f>
        <v>0</v>
      </c>
      <c r="G4" s="18">
        <f>IFERROR(VLOOKUP("5-090101-2-F",data_code, 2,FALSE),0)</f>
        <v>1</v>
      </c>
      <c r="H4" s="32">
        <f>IFERROR(VLOOKUP("5-090101-3-M",data_code, 2,FALSE),0)</f>
        <v>0</v>
      </c>
      <c r="I4" s="18">
        <f>IFERROR(VLOOKUP("5-090101-3-F",data_code, 2,FALSE),0)</f>
        <v>0</v>
      </c>
      <c r="J4" s="32">
        <f>IFERROR(VLOOKUP("5-090101-4-M",data_code, 2,FALSE),0)</f>
        <v>0</v>
      </c>
      <c r="K4" s="18">
        <f>IFERROR(VLOOKUP("5-090101-4-F",data_code, 2,FALSE),0)</f>
        <v>0</v>
      </c>
      <c r="L4" s="4">
        <f>IFERROR(VLOOKUP("5-090101-5-M",data_code, 2,FALSE),0)</f>
        <v>2</v>
      </c>
      <c r="M4" s="18">
        <f>IFERROR(VLOOKUP("5-090101-5-F",data_code, 2,FALSE),0)</f>
        <v>4</v>
      </c>
      <c r="N4" s="4">
        <f>IFERROR(VLOOKUP("5-090101-6-M",data_code, 2,FALSE),0)</f>
        <v>0</v>
      </c>
      <c r="O4" s="18">
        <f>IFERROR(VLOOKUP("5-090101-6-F",data_code, 2,FALSE),0)</f>
        <v>0</v>
      </c>
      <c r="P4" s="4">
        <f>IFERROR(VLOOKUP("5-090101-7-M",data_code, 2,FALSE),0)</f>
        <v>6</v>
      </c>
      <c r="Q4" s="18">
        <f>IFERROR(VLOOKUP("5-090101-7-F",data_code, 2,FALSE),0)</f>
        <v>14</v>
      </c>
      <c r="R4" s="4">
        <f>IFERROR(VLOOKUP("5-090101-8-M",data_code, 2,FALSE),0)</f>
        <v>0</v>
      </c>
      <c r="S4" s="18">
        <f>IFERROR(VLOOKUP("5-090101-8-F",data_code, 2,FALSE),0)</f>
        <v>2</v>
      </c>
      <c r="T4" s="4">
        <f>IFERROR(VLOOKUP("5-090101-9-M",data_code, 2,FALSE),0)</f>
        <v>0</v>
      </c>
      <c r="U4" s="4">
        <f>IFERROR(VLOOKUP("5-090101-9-F",data_code, 2,FALSE),0)</f>
        <v>0</v>
      </c>
      <c r="V4" s="32">
        <f t="shared" ref="V4:V63" si="0">SUMIF($D$2:$U$2,"Men",D4:U4)</f>
        <v>8</v>
      </c>
      <c r="W4" s="18">
        <f t="shared" ref="W4:W63" si="1">SUMIF($D$2:$U$2,"Women",D4:U4)</f>
        <v>21</v>
      </c>
      <c r="X4" s="28">
        <f t="shared" ref="X4:X63" si="2">SUM(V4:W4)</f>
        <v>29</v>
      </c>
    </row>
    <row r="5" spans="1:24">
      <c r="A5" s="83"/>
      <c r="B5" s="5" t="s">
        <v>9</v>
      </c>
      <c r="C5" s="6" t="s">
        <v>62</v>
      </c>
      <c r="D5" s="4">
        <f>IFERROR(VLOOKUP("5-090102-1-M",data_code, 2,FALSE),0)</f>
        <v>0</v>
      </c>
      <c r="E5" s="18">
        <f>IFERROR(VLOOKUP("5-090102-1-F",data_code, 2,FALSE),0)</f>
        <v>3</v>
      </c>
      <c r="F5" s="4">
        <f>IFERROR(VLOOKUP("5-090102-2-M",data_code, 2,FALSE),0)</f>
        <v>1</v>
      </c>
      <c r="G5" s="18">
        <f>IFERROR(VLOOKUP("5-090102-2-F",data_code, 2,FALSE),0)</f>
        <v>1</v>
      </c>
      <c r="H5" s="32">
        <f>IFERROR(VLOOKUP("5-090102-3-M",data_code, 2,FALSE),0)</f>
        <v>0</v>
      </c>
      <c r="I5" s="18">
        <f>IFERROR(VLOOKUP("5-090102-3-F",data_code, 2,FALSE),0)</f>
        <v>0</v>
      </c>
      <c r="J5" s="32">
        <f>IFERROR(VLOOKUP("5-090102-4-M",data_code, 2,FALSE),0)</f>
        <v>2</v>
      </c>
      <c r="K5" s="18">
        <f>IFERROR(VLOOKUP("5-090102-4-F",data_code, 2,FALSE),0)</f>
        <v>0</v>
      </c>
      <c r="L5" s="4">
        <f>IFERROR(VLOOKUP("5-090102-5-M",data_code, 2,FALSE),0)</f>
        <v>5</v>
      </c>
      <c r="M5" s="18">
        <f>IFERROR(VLOOKUP("5-090102-5-F",data_code, 2,FALSE),0)</f>
        <v>2</v>
      </c>
      <c r="N5" s="4">
        <f>IFERROR(VLOOKUP("5-090102-6-M",data_code, 2,FALSE),0)</f>
        <v>0</v>
      </c>
      <c r="O5" s="18">
        <f>IFERROR(VLOOKUP("5-090102-6-F",data_code, 2,FALSE),0)</f>
        <v>0</v>
      </c>
      <c r="P5" s="4">
        <f>IFERROR(VLOOKUP("5-090102-7-M",data_code, 2,FALSE),0)</f>
        <v>21</v>
      </c>
      <c r="Q5" s="18">
        <f>IFERROR(VLOOKUP("5-090102-7-F",data_code, 2,FALSE),0)</f>
        <v>20</v>
      </c>
      <c r="R5" s="4">
        <f>IFERROR(VLOOKUP("5-090102-8-M",data_code, 2,FALSE),0)</f>
        <v>1</v>
      </c>
      <c r="S5" s="18">
        <f>IFERROR(VLOOKUP("5-090102-8-F",data_code, 2,FALSE),0)</f>
        <v>2</v>
      </c>
      <c r="T5" s="4">
        <f>IFERROR(VLOOKUP("5-090102-9-M",data_code, 2,FALSE),0)</f>
        <v>1</v>
      </c>
      <c r="U5" s="4">
        <f>IFERROR(VLOOKUP("5-090102-9-F",data_code, 2,FALSE),0)</f>
        <v>1</v>
      </c>
      <c r="V5" s="32">
        <f t="shared" si="0"/>
        <v>31</v>
      </c>
      <c r="W5" s="18">
        <f t="shared" si="1"/>
        <v>29</v>
      </c>
      <c r="X5" s="28">
        <f t="shared" si="2"/>
        <v>60</v>
      </c>
    </row>
    <row r="6" spans="1:24">
      <c r="A6" s="83"/>
      <c r="B6" s="5">
        <v>11.0101</v>
      </c>
      <c r="C6" s="6" t="s">
        <v>63</v>
      </c>
      <c r="D6" s="4">
        <f>IFERROR(VLOOKUP("5-110101-1-M",data_code, 2,FALSE),0)</f>
        <v>0</v>
      </c>
      <c r="E6" s="18">
        <f>IFERROR(VLOOKUP("5-110101-1-F",data_code, 2,FALSE),0)</f>
        <v>0</v>
      </c>
      <c r="F6" s="4">
        <f>IFERROR(VLOOKUP("5-110101-2-M",data_code, 2,FALSE),0)</f>
        <v>0</v>
      </c>
      <c r="G6" s="18">
        <f>IFERROR(VLOOKUP("5-110101-2-F",data_code, 2,FALSE),0)</f>
        <v>0</v>
      </c>
      <c r="H6" s="32">
        <f>IFERROR(VLOOKUP("5-110101-3-M",data_code, 2,FALSE),0)</f>
        <v>0</v>
      </c>
      <c r="I6" s="18">
        <f>IFERROR(VLOOKUP("5-110101-3-F",data_code, 2,FALSE),0)</f>
        <v>0</v>
      </c>
      <c r="J6" s="32">
        <f>IFERROR(VLOOKUP("5-110101-4-M",data_code, 2,FALSE),0)</f>
        <v>0</v>
      </c>
      <c r="K6" s="18">
        <f>IFERROR(VLOOKUP("5-110101-4-F",data_code, 2,FALSE),0)</f>
        <v>0</v>
      </c>
      <c r="L6" s="4">
        <f>IFERROR(VLOOKUP("5-110101-5-M",data_code, 2,FALSE),0)</f>
        <v>1</v>
      </c>
      <c r="M6" s="18">
        <f>IFERROR(VLOOKUP("5-110101-5-F",data_code, 2,FALSE),0)</f>
        <v>0</v>
      </c>
      <c r="N6" s="4">
        <f>IFERROR(VLOOKUP("5-110101-6-M",data_code, 2,FALSE),0)</f>
        <v>0</v>
      </c>
      <c r="O6" s="18">
        <f>IFERROR(VLOOKUP("5-110101-6-F",data_code, 2,FALSE),0)</f>
        <v>0</v>
      </c>
      <c r="P6" s="4">
        <f>IFERROR(VLOOKUP("5-110101-7-M",data_code, 2,FALSE),0)</f>
        <v>0</v>
      </c>
      <c r="Q6" s="18">
        <f>IFERROR(VLOOKUP("5-110101-7-F",data_code, 2,FALSE),0)</f>
        <v>0</v>
      </c>
      <c r="R6" s="4">
        <f>IFERROR(VLOOKUP("5-110101-8-M",data_code, 2,FALSE),0)</f>
        <v>0</v>
      </c>
      <c r="S6" s="18">
        <f>IFERROR(VLOOKUP("5-110101-8-F",data_code, 2,FALSE),0)</f>
        <v>0</v>
      </c>
      <c r="T6" s="4">
        <f>IFERROR(VLOOKUP("5-110101-9-M",data_code, 2,FALSE),0)</f>
        <v>0</v>
      </c>
      <c r="U6" s="4">
        <f>IFERROR(VLOOKUP("5-110101-9-F",data_code, 2,FALSE),0)</f>
        <v>0</v>
      </c>
      <c r="V6" s="32">
        <f t="shared" si="0"/>
        <v>1</v>
      </c>
      <c r="W6" s="18">
        <f t="shared" si="1"/>
        <v>0</v>
      </c>
      <c r="X6" s="28">
        <f t="shared" si="2"/>
        <v>1</v>
      </c>
    </row>
    <row r="7" spans="1:24">
      <c r="A7" s="83"/>
      <c r="B7" s="5">
        <v>11.0701</v>
      </c>
      <c r="C7" s="6" t="s">
        <v>64</v>
      </c>
      <c r="D7" s="4">
        <f>IFERROR(VLOOKUP("5-110701-1-M",data_code, 2,FALSE),0)</f>
        <v>4</v>
      </c>
      <c r="E7" s="18">
        <f>IFERROR(VLOOKUP("5-110701-1-F",data_code, 2,FALSE),0)</f>
        <v>1</v>
      </c>
      <c r="F7" s="4">
        <f>IFERROR(VLOOKUP("5-110701-2-M",data_code, 2,FALSE),0)</f>
        <v>4</v>
      </c>
      <c r="G7" s="18">
        <f>IFERROR(VLOOKUP("5-110701-2-F",data_code, 2,FALSE),0)</f>
        <v>2</v>
      </c>
      <c r="H7" s="32">
        <f>IFERROR(VLOOKUP("5-110701-3-M",data_code, 2,FALSE),0)</f>
        <v>0</v>
      </c>
      <c r="I7" s="18">
        <f>IFERROR(VLOOKUP("5-110701-3-F",data_code, 2,FALSE),0)</f>
        <v>0</v>
      </c>
      <c r="J7" s="32">
        <f>IFERROR(VLOOKUP("5-110701-4-M",data_code, 2,FALSE),0)</f>
        <v>2</v>
      </c>
      <c r="K7" s="18">
        <f>IFERROR(VLOOKUP("5-110701-4-F",data_code, 2,FALSE),0)</f>
        <v>0</v>
      </c>
      <c r="L7" s="4">
        <f>IFERROR(VLOOKUP("5-110701-5-M",data_code, 2,FALSE),0)</f>
        <v>4</v>
      </c>
      <c r="M7" s="18">
        <f>IFERROR(VLOOKUP("5-110701-5-F",data_code, 2,FALSE),0)</f>
        <v>0</v>
      </c>
      <c r="N7" s="4">
        <f>IFERROR(VLOOKUP("5-110701-6-M",data_code, 2,FALSE),0)</f>
        <v>0</v>
      </c>
      <c r="O7" s="18">
        <f>IFERROR(VLOOKUP("5-110701-6-F",data_code, 2,FALSE),0)</f>
        <v>0</v>
      </c>
      <c r="P7" s="4">
        <f>IFERROR(VLOOKUP("5-110701-7-M",data_code, 2,FALSE),0)</f>
        <v>32</v>
      </c>
      <c r="Q7" s="18">
        <f>IFERROR(VLOOKUP("5-110701-7-F",data_code, 2,FALSE),0)</f>
        <v>8</v>
      </c>
      <c r="R7" s="4">
        <f>IFERROR(VLOOKUP("5-110701-8-M",data_code, 2,FALSE),0)</f>
        <v>1</v>
      </c>
      <c r="S7" s="18">
        <f>IFERROR(VLOOKUP("5-110701-8-F",data_code, 2,FALSE),0)</f>
        <v>0</v>
      </c>
      <c r="T7" s="4">
        <f>IFERROR(VLOOKUP("5-110701-9-M",data_code, 2,FALSE),0)</f>
        <v>2</v>
      </c>
      <c r="U7" s="4">
        <f>IFERROR(VLOOKUP("5-110701-9-F",data_code, 2,FALSE),0)</f>
        <v>0</v>
      </c>
      <c r="V7" s="32">
        <f t="shared" si="0"/>
        <v>49</v>
      </c>
      <c r="W7" s="18">
        <f t="shared" si="1"/>
        <v>11</v>
      </c>
      <c r="X7" s="28">
        <f t="shared" si="2"/>
        <v>60</v>
      </c>
    </row>
    <row r="8" spans="1:24">
      <c r="A8" s="83"/>
      <c r="B8" s="5">
        <v>13.100099999999999</v>
      </c>
      <c r="C8" s="6" t="s">
        <v>65</v>
      </c>
      <c r="D8" s="4">
        <f>IFERROR(VLOOKUP("5-131001-1-M",data_code, 2,FALSE),0)</f>
        <v>0</v>
      </c>
      <c r="E8" s="18">
        <f>IFERROR(VLOOKUP("5-131001-1-F",data_code, 2,FALSE),0)</f>
        <v>0</v>
      </c>
      <c r="F8" s="4">
        <f>IFERROR(VLOOKUP("5-131001-2-M",data_code, 2,FALSE),0)</f>
        <v>0</v>
      </c>
      <c r="G8" s="18">
        <f>IFERROR(VLOOKUP("5-131001-2-F",data_code, 2,FALSE),0)</f>
        <v>0</v>
      </c>
      <c r="H8" s="32">
        <f>IFERROR(VLOOKUP("5-131001-3-M",data_code, 2,FALSE),0)</f>
        <v>1</v>
      </c>
      <c r="I8" s="18">
        <f>IFERROR(VLOOKUP("5-131001-3-F",data_code, 2,FALSE),0)</f>
        <v>0</v>
      </c>
      <c r="J8" s="32">
        <f>IFERROR(VLOOKUP("5-131001-4-M",data_code, 2,FALSE),0)</f>
        <v>0</v>
      </c>
      <c r="K8" s="18">
        <f>IFERROR(VLOOKUP("5-131001-4-F",data_code, 2,FALSE),0)</f>
        <v>0</v>
      </c>
      <c r="L8" s="4">
        <f>IFERROR(VLOOKUP("5-131001-5-M",data_code, 2,FALSE),0)</f>
        <v>0</v>
      </c>
      <c r="M8" s="18">
        <f>IFERROR(VLOOKUP("5-131001-5-F",data_code, 2,FALSE),0)</f>
        <v>0</v>
      </c>
      <c r="N8" s="4">
        <f>IFERROR(VLOOKUP("5-131001-6-M",data_code, 2,FALSE),0)</f>
        <v>0</v>
      </c>
      <c r="O8" s="18">
        <f>IFERROR(VLOOKUP("5-131001-6-F",data_code, 2,FALSE),0)</f>
        <v>0</v>
      </c>
      <c r="P8" s="4">
        <f>IFERROR(VLOOKUP("5-131001-7-M",data_code, 2,FALSE),0)</f>
        <v>0</v>
      </c>
      <c r="Q8" s="18">
        <f>IFERROR(VLOOKUP("5-131001-7-F",data_code, 2,FALSE),0)</f>
        <v>12</v>
      </c>
      <c r="R8" s="4">
        <f>IFERROR(VLOOKUP("5-131001-8-M",data_code, 2,FALSE),0)</f>
        <v>0</v>
      </c>
      <c r="S8" s="18">
        <f>IFERROR(VLOOKUP("5-131001-8-F",data_code, 2,FALSE),0)</f>
        <v>1</v>
      </c>
      <c r="T8" s="4">
        <f>IFERROR(VLOOKUP("5-131001-9-M",data_code, 2,FALSE),0)</f>
        <v>0</v>
      </c>
      <c r="U8" s="4">
        <f>IFERROR(VLOOKUP("5-131001-9-F",data_code, 2,FALSE),0)</f>
        <v>0</v>
      </c>
      <c r="V8" s="32">
        <f t="shared" si="0"/>
        <v>1</v>
      </c>
      <c r="W8" s="18">
        <f t="shared" si="1"/>
        <v>13</v>
      </c>
      <c r="X8" s="28">
        <f t="shared" si="2"/>
        <v>14</v>
      </c>
    </row>
    <row r="9" spans="1:24">
      <c r="A9" s="83"/>
      <c r="B9" s="5">
        <v>13.120200000000001</v>
      </c>
      <c r="C9" s="6" t="s">
        <v>66</v>
      </c>
      <c r="D9" s="4">
        <f>IFERROR(VLOOKUP("5-131202-1-M",data_code, 2,FALSE),0)</f>
        <v>0</v>
      </c>
      <c r="E9" s="18">
        <f>IFERROR(VLOOKUP("5-131202-1-F",data_code, 2,FALSE),0)</f>
        <v>0</v>
      </c>
      <c r="F9" s="4">
        <f>IFERROR(VLOOKUP("5-131202-2-M",data_code, 2,FALSE),0)</f>
        <v>0</v>
      </c>
      <c r="G9" s="18">
        <f>IFERROR(VLOOKUP("5-131202-2-F",data_code, 2,FALSE),0)</f>
        <v>2</v>
      </c>
      <c r="H9" s="32">
        <f>IFERROR(VLOOKUP("5-131202-3-M",data_code, 2,FALSE),0)</f>
        <v>0</v>
      </c>
      <c r="I9" s="18">
        <f>IFERROR(VLOOKUP("5-131202-3-F",data_code, 2,FALSE),0)</f>
        <v>0</v>
      </c>
      <c r="J9" s="32">
        <f>IFERROR(VLOOKUP("5-131202-4-M",data_code, 2,FALSE),0)</f>
        <v>0</v>
      </c>
      <c r="K9" s="18">
        <f>IFERROR(VLOOKUP("5-131202-4-F",data_code, 2,FALSE),0)</f>
        <v>2</v>
      </c>
      <c r="L9" s="4">
        <f>IFERROR(VLOOKUP("5-131202-5-M",data_code, 2,FALSE),0)</f>
        <v>1</v>
      </c>
      <c r="M9" s="18">
        <f>IFERROR(VLOOKUP("5-131202-5-F",data_code, 2,FALSE),0)</f>
        <v>1</v>
      </c>
      <c r="N9" s="4">
        <f>IFERROR(VLOOKUP("5-131202-6-M",data_code, 2,FALSE),0)</f>
        <v>0</v>
      </c>
      <c r="O9" s="18">
        <f>IFERROR(VLOOKUP("5-131202-6-F",data_code, 2,FALSE),0)</f>
        <v>0</v>
      </c>
      <c r="P9" s="4">
        <f>IFERROR(VLOOKUP("5-131202-7-M",data_code, 2,FALSE),0)</f>
        <v>3</v>
      </c>
      <c r="Q9" s="18">
        <f>IFERROR(VLOOKUP("5-131202-7-F",data_code, 2,FALSE),0)</f>
        <v>48</v>
      </c>
      <c r="R9" s="4">
        <f>IFERROR(VLOOKUP("5-131202-8-M",data_code, 2,FALSE),0)</f>
        <v>0</v>
      </c>
      <c r="S9" s="18">
        <f>IFERROR(VLOOKUP("5-131202-8-F",data_code, 2,FALSE),0)</f>
        <v>2</v>
      </c>
      <c r="T9" s="4">
        <f>IFERROR(VLOOKUP("5-131202-9-M",data_code, 2,FALSE),0)</f>
        <v>0</v>
      </c>
      <c r="U9" s="4">
        <f>IFERROR(VLOOKUP("5-131202-9-F",data_code, 2,FALSE),0)</f>
        <v>1</v>
      </c>
      <c r="V9" s="32">
        <f t="shared" si="0"/>
        <v>4</v>
      </c>
      <c r="W9" s="18">
        <f t="shared" si="1"/>
        <v>56</v>
      </c>
      <c r="X9" s="28">
        <f t="shared" si="2"/>
        <v>60</v>
      </c>
    </row>
    <row r="10" spans="1:24">
      <c r="A10" s="83"/>
      <c r="B10" s="5" t="s">
        <v>10</v>
      </c>
      <c r="C10" s="6" t="s">
        <v>67</v>
      </c>
      <c r="D10" s="4">
        <f>IFERROR(VLOOKUP("5-131210-1-M",data_code, 2,FALSE),0)</f>
        <v>0</v>
      </c>
      <c r="E10" s="18">
        <f>IFERROR(VLOOKUP("5-131210-1-F",data_code, 2,FALSE),0)</f>
        <v>0</v>
      </c>
      <c r="F10" s="4">
        <f>IFERROR(VLOOKUP("5-131210-2-M",data_code, 2,FALSE),0)</f>
        <v>0</v>
      </c>
      <c r="G10" s="18">
        <f>IFERROR(VLOOKUP("5-131210-2-F",data_code, 2,FALSE),0)</f>
        <v>2</v>
      </c>
      <c r="H10" s="32">
        <f>IFERROR(VLOOKUP("5-131210-3-M",data_code, 2,FALSE),0)</f>
        <v>0</v>
      </c>
      <c r="I10" s="18">
        <f>IFERROR(VLOOKUP("5-131210-3-F",data_code, 2,FALSE),0)</f>
        <v>0</v>
      </c>
      <c r="J10" s="32">
        <f>IFERROR(VLOOKUP("5-131210-4-M",data_code, 2,FALSE),0)</f>
        <v>0</v>
      </c>
      <c r="K10" s="18">
        <f>IFERROR(VLOOKUP("5-131210-4-F",data_code, 2,FALSE),0)</f>
        <v>0</v>
      </c>
      <c r="L10" s="4">
        <f>IFERROR(VLOOKUP("5-131210-5-M",data_code, 2,FALSE),0)</f>
        <v>0</v>
      </c>
      <c r="M10" s="18">
        <f>IFERROR(VLOOKUP("5-131210-5-F",data_code, 2,FALSE),0)</f>
        <v>3</v>
      </c>
      <c r="N10" s="4">
        <f>IFERROR(VLOOKUP("5-131210-6-M",data_code, 2,FALSE),0)</f>
        <v>0</v>
      </c>
      <c r="O10" s="18">
        <f>IFERROR(VLOOKUP("5-131210-6-F",data_code, 2,FALSE),0)</f>
        <v>0</v>
      </c>
      <c r="P10" s="4">
        <f>IFERROR(VLOOKUP("5-131210-7-M",data_code, 2,FALSE),0)</f>
        <v>1</v>
      </c>
      <c r="Q10" s="18">
        <f>IFERROR(VLOOKUP("5-131210-7-F",data_code, 2,FALSE),0)</f>
        <v>31</v>
      </c>
      <c r="R10" s="4">
        <f>IFERROR(VLOOKUP("5-131210-8-M",data_code, 2,FALSE),0)</f>
        <v>0</v>
      </c>
      <c r="S10" s="18">
        <f>IFERROR(VLOOKUP("5-131210-8-F",data_code, 2,FALSE),0)</f>
        <v>1</v>
      </c>
      <c r="T10" s="4">
        <f>IFERROR(VLOOKUP("5-131210-9-M",data_code, 2,FALSE),0)</f>
        <v>0</v>
      </c>
      <c r="U10" s="4">
        <f>IFERROR(VLOOKUP("5-131210-9-F",data_code, 2,FALSE),0)</f>
        <v>0</v>
      </c>
      <c r="V10" s="32">
        <f t="shared" si="0"/>
        <v>1</v>
      </c>
      <c r="W10" s="18">
        <f t="shared" si="1"/>
        <v>37</v>
      </c>
      <c r="X10" s="28">
        <f t="shared" si="2"/>
        <v>38</v>
      </c>
    </row>
    <row r="11" spans="1:24">
      <c r="A11" s="83"/>
      <c r="B11" s="5">
        <v>14.0801</v>
      </c>
      <c r="C11" s="6" t="s">
        <v>68</v>
      </c>
      <c r="D11" s="4">
        <f>IFERROR(VLOOKUP("5-140801-1-M",data_code, 2,FALSE),0)</f>
        <v>1</v>
      </c>
      <c r="E11" s="18">
        <f>IFERROR(VLOOKUP("5-140801-1-F",data_code, 2,FALSE),0)</f>
        <v>0</v>
      </c>
      <c r="F11" s="4">
        <f>IFERROR(VLOOKUP("5-140801-2-M",data_code, 2,FALSE),0)</f>
        <v>0</v>
      </c>
      <c r="G11" s="18">
        <f>IFERROR(VLOOKUP("5-140801-2-F",data_code, 2,FALSE),0)</f>
        <v>0</v>
      </c>
      <c r="H11" s="32">
        <f>IFERROR(VLOOKUP("5-140801-3-M",data_code, 2,FALSE),0)</f>
        <v>0</v>
      </c>
      <c r="I11" s="18">
        <f>IFERROR(VLOOKUP("5-140801-3-F",data_code, 2,FALSE),0)</f>
        <v>0</v>
      </c>
      <c r="J11" s="32">
        <f>IFERROR(VLOOKUP("5-140801-4-M",data_code, 2,FALSE),0)</f>
        <v>0</v>
      </c>
      <c r="K11" s="18">
        <f>IFERROR(VLOOKUP("5-140801-4-F",data_code, 2,FALSE),0)</f>
        <v>0</v>
      </c>
      <c r="L11" s="4">
        <f>IFERROR(VLOOKUP("5-140801-5-M",data_code, 2,FALSE),0)</f>
        <v>5</v>
      </c>
      <c r="M11" s="18">
        <f>IFERROR(VLOOKUP("5-140801-5-F",data_code, 2,FALSE),0)</f>
        <v>0</v>
      </c>
      <c r="N11" s="4">
        <f>IFERROR(VLOOKUP("5-140801-6-M",data_code, 2,FALSE),0)</f>
        <v>0</v>
      </c>
      <c r="O11" s="18">
        <f>IFERROR(VLOOKUP("5-140801-6-F",data_code, 2,FALSE),0)</f>
        <v>0</v>
      </c>
      <c r="P11" s="4">
        <f>IFERROR(VLOOKUP("5-140801-7-M",data_code, 2,FALSE),0)</f>
        <v>37</v>
      </c>
      <c r="Q11" s="18">
        <f>IFERROR(VLOOKUP("5-140801-7-F",data_code, 2,FALSE),0)</f>
        <v>7</v>
      </c>
      <c r="R11" s="4">
        <f>IFERROR(VLOOKUP("5-140801-8-M",data_code, 2,FALSE),0)</f>
        <v>0</v>
      </c>
      <c r="S11" s="18">
        <f>IFERROR(VLOOKUP("5-140801-8-F",data_code, 2,FALSE),0)</f>
        <v>0</v>
      </c>
      <c r="T11" s="4">
        <f>IFERROR(VLOOKUP("5-140801-9-M",data_code, 2,FALSE),0)</f>
        <v>0</v>
      </c>
      <c r="U11" s="4">
        <f>IFERROR(VLOOKUP("5-140801-9-F",data_code, 2,FALSE),0)</f>
        <v>0</v>
      </c>
      <c r="V11" s="32">
        <f t="shared" si="0"/>
        <v>43</v>
      </c>
      <c r="W11" s="18">
        <f t="shared" si="1"/>
        <v>7</v>
      </c>
      <c r="X11" s="28">
        <f t="shared" si="2"/>
        <v>50</v>
      </c>
    </row>
    <row r="12" spans="1:24">
      <c r="A12" s="83"/>
      <c r="B12" s="5">
        <v>14.0901</v>
      </c>
      <c r="C12" s="6" t="s">
        <v>69</v>
      </c>
      <c r="D12" s="4">
        <f>IFERROR(VLOOKUP("5-140901-1-M",data_code, 2,FALSE),0)</f>
        <v>0</v>
      </c>
      <c r="E12" s="18">
        <f>IFERROR(VLOOKUP("5-140901-1-F",data_code, 2,FALSE),0)</f>
        <v>0</v>
      </c>
      <c r="F12" s="4">
        <f>IFERROR(VLOOKUP("5-140901-2-M",data_code, 2,FALSE),0)</f>
        <v>2</v>
      </c>
      <c r="G12" s="18">
        <f>IFERROR(VLOOKUP("5-140901-2-F",data_code, 2,FALSE),0)</f>
        <v>0</v>
      </c>
      <c r="H12" s="32">
        <f>IFERROR(VLOOKUP("5-140901-3-M",data_code, 2,FALSE),0)</f>
        <v>0</v>
      </c>
      <c r="I12" s="18">
        <f>IFERROR(VLOOKUP("5-140901-3-F",data_code, 2,FALSE),0)</f>
        <v>0</v>
      </c>
      <c r="J12" s="32">
        <f>IFERROR(VLOOKUP("5-140901-4-M",data_code, 2,FALSE),0)</f>
        <v>0</v>
      </c>
      <c r="K12" s="18">
        <f>IFERROR(VLOOKUP("5-140901-4-F",data_code, 2,FALSE),0)</f>
        <v>1</v>
      </c>
      <c r="L12" s="4">
        <f>IFERROR(VLOOKUP("5-140901-5-M",data_code, 2,FALSE),0)</f>
        <v>1</v>
      </c>
      <c r="M12" s="18">
        <f>IFERROR(VLOOKUP("5-140901-5-F",data_code, 2,FALSE),0)</f>
        <v>0</v>
      </c>
      <c r="N12" s="4">
        <f>IFERROR(VLOOKUP("5-140901-6-M",data_code, 2,FALSE),0)</f>
        <v>0</v>
      </c>
      <c r="O12" s="18">
        <f>IFERROR(VLOOKUP("5-140901-6-F",data_code, 2,FALSE),0)</f>
        <v>0</v>
      </c>
      <c r="P12" s="4">
        <f>IFERROR(VLOOKUP("5-140901-7-M",data_code, 2,FALSE),0)</f>
        <v>5</v>
      </c>
      <c r="Q12" s="18">
        <f>IFERROR(VLOOKUP("5-140901-7-F",data_code, 2,FALSE),0)</f>
        <v>0</v>
      </c>
      <c r="R12" s="4">
        <f>IFERROR(VLOOKUP("5-140901-8-M",data_code, 2,FALSE),0)</f>
        <v>0</v>
      </c>
      <c r="S12" s="18">
        <f>IFERROR(VLOOKUP("5-140901-8-F",data_code, 2,FALSE),0)</f>
        <v>0</v>
      </c>
      <c r="T12" s="4">
        <f>IFERROR(VLOOKUP("5-140901-9-M",data_code, 2,FALSE),0)</f>
        <v>0</v>
      </c>
      <c r="U12" s="4">
        <f>IFERROR(VLOOKUP("5-140901-9-F",data_code, 2,FALSE),0)</f>
        <v>0</v>
      </c>
      <c r="V12" s="32">
        <f t="shared" si="0"/>
        <v>8</v>
      </c>
      <c r="W12" s="18">
        <f t="shared" si="1"/>
        <v>1</v>
      </c>
      <c r="X12" s="28">
        <f t="shared" si="2"/>
        <v>9</v>
      </c>
    </row>
    <row r="13" spans="1:24">
      <c r="A13" s="83"/>
      <c r="B13" s="5">
        <v>14.100099999999999</v>
      </c>
      <c r="C13" s="6" t="s">
        <v>73</v>
      </c>
      <c r="D13" s="4">
        <f>IFERROR(VLOOKUP("5-141001-1-M",data_code, 2,FALSE),0)</f>
        <v>0</v>
      </c>
      <c r="E13" s="18">
        <f>IFERROR(VLOOKUP("5-141001-1-F",data_code, 2,FALSE),0)</f>
        <v>0</v>
      </c>
      <c r="F13" s="4">
        <f>IFERROR(VLOOKUP("5-141001-2-M",data_code, 2,FALSE),0)</f>
        <v>2</v>
      </c>
      <c r="G13" s="18">
        <f>IFERROR(VLOOKUP("5-141001-2-F",data_code, 2,FALSE),0)</f>
        <v>0</v>
      </c>
      <c r="H13" s="32">
        <f>IFERROR(VLOOKUP("5-141001-3-M",data_code, 2,FALSE),0)</f>
        <v>0</v>
      </c>
      <c r="I13" s="18">
        <f>IFERROR(VLOOKUP("5-141001-3-F",data_code, 2,FALSE),0)</f>
        <v>0</v>
      </c>
      <c r="J13" s="32">
        <f>IFERROR(VLOOKUP("5-141001-4-M",data_code, 2,FALSE),0)</f>
        <v>0</v>
      </c>
      <c r="K13" s="18">
        <f>IFERROR(VLOOKUP("5-141001-4-F",data_code, 2,FALSE),0)</f>
        <v>0</v>
      </c>
      <c r="L13" s="4">
        <f>IFERROR(VLOOKUP("5-141001-5-M",data_code, 2,FALSE),0)</f>
        <v>0</v>
      </c>
      <c r="M13" s="18">
        <f>IFERROR(VLOOKUP("5-141001-5-F",data_code, 2,FALSE),0)</f>
        <v>0</v>
      </c>
      <c r="N13" s="4">
        <f>IFERROR(VLOOKUP("5-141001-6-M",data_code, 2,FALSE),0)</f>
        <v>0</v>
      </c>
      <c r="O13" s="18">
        <f>IFERROR(VLOOKUP("5-141001-6-F",data_code, 2,FALSE),0)</f>
        <v>0</v>
      </c>
      <c r="P13" s="4">
        <f>IFERROR(VLOOKUP("5-141001-7-M",data_code, 2,FALSE),0)</f>
        <v>20</v>
      </c>
      <c r="Q13" s="18">
        <f>IFERROR(VLOOKUP("5-141001-7-F",data_code, 2,FALSE),0)</f>
        <v>1</v>
      </c>
      <c r="R13" s="4">
        <f>IFERROR(VLOOKUP("5-141001-8-M",data_code, 2,FALSE),0)</f>
        <v>1</v>
      </c>
      <c r="S13" s="18">
        <f>IFERROR(VLOOKUP("5-141001-8-F",data_code, 2,FALSE),0)</f>
        <v>0</v>
      </c>
      <c r="T13" s="4">
        <f>IFERROR(VLOOKUP("5-141001-9-M",data_code, 2,FALSE),0)</f>
        <v>1</v>
      </c>
      <c r="U13" s="4">
        <f>IFERROR(VLOOKUP("5-141001-9-F",data_code, 2,FALSE),0)</f>
        <v>0</v>
      </c>
      <c r="V13" s="32">
        <f t="shared" si="0"/>
        <v>24</v>
      </c>
      <c r="W13" s="18">
        <f t="shared" si="1"/>
        <v>1</v>
      </c>
      <c r="X13" s="28">
        <f t="shared" si="2"/>
        <v>25</v>
      </c>
    </row>
    <row r="14" spans="1:24">
      <c r="A14" s="83"/>
      <c r="B14" s="5">
        <v>14.190099999999999</v>
      </c>
      <c r="C14" s="6" t="s">
        <v>72</v>
      </c>
      <c r="D14" s="4">
        <f>IFERROR(VLOOKUP("5-141901-1-M",data_code, 2,FALSE),0)</f>
        <v>1</v>
      </c>
      <c r="E14" s="18">
        <f>IFERROR(VLOOKUP("5-141901-1-F",data_code, 2,FALSE),0)</f>
        <v>0</v>
      </c>
      <c r="F14" s="4">
        <f>IFERROR(VLOOKUP("5-141901-2-M",data_code, 2,FALSE),0)</f>
        <v>1</v>
      </c>
      <c r="G14" s="18">
        <f>IFERROR(VLOOKUP("5-141901-2-F",data_code, 2,FALSE),0)</f>
        <v>0</v>
      </c>
      <c r="H14" s="32">
        <f>IFERROR(VLOOKUP("5-141901-3-M",data_code, 2,FALSE),0)</f>
        <v>0</v>
      </c>
      <c r="I14" s="18">
        <f>IFERROR(VLOOKUP("5-141901-3-F",data_code, 2,FALSE),0)</f>
        <v>0</v>
      </c>
      <c r="J14" s="32">
        <f>IFERROR(VLOOKUP("5-141901-4-M",data_code, 2,FALSE),0)</f>
        <v>1</v>
      </c>
      <c r="K14" s="18">
        <f>IFERROR(VLOOKUP("5-141901-4-F",data_code, 2,FALSE),0)</f>
        <v>0</v>
      </c>
      <c r="L14" s="4">
        <f>IFERROR(VLOOKUP("5-141901-5-M",data_code, 2,FALSE),0)</f>
        <v>0</v>
      </c>
      <c r="M14" s="18">
        <f>IFERROR(VLOOKUP("5-141901-5-F",data_code, 2,FALSE),0)</f>
        <v>0</v>
      </c>
      <c r="N14" s="4">
        <f>IFERROR(VLOOKUP("5-141901-6-M",data_code, 2,FALSE),0)</f>
        <v>0</v>
      </c>
      <c r="O14" s="18">
        <f>IFERROR(VLOOKUP("5-141901-6-F",data_code, 2,FALSE),0)</f>
        <v>0</v>
      </c>
      <c r="P14" s="4">
        <f>IFERROR(VLOOKUP("5-141901-7-M",data_code, 2,FALSE),0)</f>
        <v>40</v>
      </c>
      <c r="Q14" s="18">
        <f>IFERROR(VLOOKUP("5-141901-7-F",data_code, 2,FALSE),0)</f>
        <v>6</v>
      </c>
      <c r="R14" s="4">
        <f>IFERROR(VLOOKUP("5-141901-8-M",data_code, 2,FALSE),0)</f>
        <v>0</v>
      </c>
      <c r="S14" s="18">
        <f>IFERROR(VLOOKUP("5-141901-8-F",data_code, 2,FALSE),0)</f>
        <v>0</v>
      </c>
      <c r="T14" s="4">
        <f>IFERROR(VLOOKUP("5-141901-9-M",data_code, 2,FALSE),0)</f>
        <v>1</v>
      </c>
      <c r="U14" s="4">
        <f>IFERROR(VLOOKUP("5-141901-9-F",data_code, 2,FALSE),0)</f>
        <v>0</v>
      </c>
      <c r="V14" s="32">
        <f t="shared" si="0"/>
        <v>44</v>
      </c>
      <c r="W14" s="18">
        <f t="shared" si="1"/>
        <v>6</v>
      </c>
      <c r="X14" s="28">
        <f t="shared" si="2"/>
        <v>50</v>
      </c>
    </row>
    <row r="15" spans="1:24">
      <c r="A15" s="83"/>
      <c r="B15" s="5">
        <v>14.350099999999999</v>
      </c>
      <c r="C15" s="6" t="s">
        <v>71</v>
      </c>
      <c r="D15" s="4">
        <f>IFERROR(VLOOKUP("5-143501-1-M",data_code, 2,FALSE),0)</f>
        <v>0</v>
      </c>
      <c r="E15" s="18">
        <f>IFERROR(VLOOKUP("5-143501-1-F",data_code, 2,FALSE),0)</f>
        <v>1</v>
      </c>
      <c r="F15" s="4">
        <f>IFERROR(VLOOKUP("5-143501-2-M",data_code, 2,FALSE),0)</f>
        <v>0</v>
      </c>
      <c r="G15" s="18">
        <f>IFERROR(VLOOKUP("5-143501-2-F",data_code, 2,FALSE),0)</f>
        <v>0</v>
      </c>
      <c r="H15" s="32">
        <f>IFERROR(VLOOKUP("5-143501-3-M",data_code, 2,FALSE),0)</f>
        <v>0</v>
      </c>
      <c r="I15" s="18">
        <f>IFERROR(VLOOKUP("5-143501-3-F",data_code, 2,FALSE),0)</f>
        <v>0</v>
      </c>
      <c r="J15" s="32">
        <f>IFERROR(VLOOKUP("5-143501-4-M",data_code, 2,FALSE),0)</f>
        <v>0</v>
      </c>
      <c r="K15" s="18">
        <f>IFERROR(VLOOKUP("5-143501-4-F",data_code, 2,FALSE),0)</f>
        <v>0</v>
      </c>
      <c r="L15" s="4">
        <f>IFERROR(VLOOKUP("5-143501-5-M",data_code, 2,FALSE),0)</f>
        <v>0</v>
      </c>
      <c r="M15" s="18">
        <f>IFERROR(VLOOKUP("5-143501-5-F",data_code, 2,FALSE),0)</f>
        <v>0</v>
      </c>
      <c r="N15" s="4">
        <f>IFERROR(VLOOKUP("5-143501-6-M",data_code, 2,FALSE),0)</f>
        <v>0</v>
      </c>
      <c r="O15" s="18">
        <f>IFERROR(VLOOKUP("5-143501-6-F",data_code, 2,FALSE),0)</f>
        <v>0</v>
      </c>
      <c r="P15" s="4">
        <f>IFERROR(VLOOKUP("5-143501-7-M",data_code, 2,FALSE),0)</f>
        <v>2</v>
      </c>
      <c r="Q15" s="18">
        <f>IFERROR(VLOOKUP("5-143501-7-F",data_code, 2,FALSE),0)</f>
        <v>1</v>
      </c>
      <c r="R15" s="4">
        <f>IFERROR(VLOOKUP("5-143501-8-M",data_code, 2,FALSE),0)</f>
        <v>0</v>
      </c>
      <c r="S15" s="18">
        <f>IFERROR(VLOOKUP("5-143501-8-F",data_code, 2,FALSE),0)</f>
        <v>0</v>
      </c>
      <c r="T15" s="4">
        <f>IFERROR(VLOOKUP("5-143501-9-M",data_code, 2,FALSE),0)</f>
        <v>0</v>
      </c>
      <c r="U15" s="4">
        <f>IFERROR(VLOOKUP("5-143501-9-F",data_code, 2,FALSE),0)</f>
        <v>0</v>
      </c>
      <c r="V15" s="32">
        <f t="shared" si="0"/>
        <v>2</v>
      </c>
      <c r="W15" s="18">
        <f t="shared" si="1"/>
        <v>2</v>
      </c>
      <c r="X15" s="28">
        <f t="shared" si="2"/>
        <v>4</v>
      </c>
    </row>
    <row r="16" spans="1:24">
      <c r="A16" s="83"/>
      <c r="B16" s="5">
        <v>14.4201</v>
      </c>
      <c r="C16" s="6" t="s">
        <v>70</v>
      </c>
      <c r="D16" s="4">
        <f>IFERROR(VLOOKUP("5-144201-1-M",data_code, 2,FALSE),0)</f>
        <v>14</v>
      </c>
      <c r="E16" s="18">
        <f>IFERROR(VLOOKUP("5-144201-1-F",data_code, 2,FALSE),0)</f>
        <v>3</v>
      </c>
      <c r="F16" s="4">
        <f>IFERROR(VLOOKUP("5-144201-2-M",data_code, 2,FALSE),0)</f>
        <v>2</v>
      </c>
      <c r="G16" s="18">
        <f>IFERROR(VLOOKUP("5-144201-2-F",data_code, 2,FALSE),0)</f>
        <v>0</v>
      </c>
      <c r="H16" s="32">
        <f>IFERROR(VLOOKUP("5-144201-3-M",data_code, 2,FALSE),0)</f>
        <v>0</v>
      </c>
      <c r="I16" s="18">
        <f>IFERROR(VLOOKUP("5-144201-3-F",data_code, 2,FALSE),0)</f>
        <v>0</v>
      </c>
      <c r="J16" s="32">
        <f>IFERROR(VLOOKUP("5-144201-4-M",data_code, 2,FALSE),0)</f>
        <v>1</v>
      </c>
      <c r="K16" s="18">
        <f>IFERROR(VLOOKUP("5-144201-4-F",data_code, 2,FALSE),0)</f>
        <v>0</v>
      </c>
      <c r="L16" s="4">
        <f>IFERROR(VLOOKUP("5-144201-5-M",data_code, 2,FALSE),0)</f>
        <v>0</v>
      </c>
      <c r="M16" s="18">
        <f>IFERROR(VLOOKUP("5-144201-5-F",data_code, 2,FALSE),0)</f>
        <v>1</v>
      </c>
      <c r="N16" s="4">
        <f>IFERROR(VLOOKUP("5-144201-6-M",data_code, 2,FALSE),0)</f>
        <v>0</v>
      </c>
      <c r="O16" s="18">
        <f>IFERROR(VLOOKUP("5-144201-6-F",data_code, 2,FALSE),0)</f>
        <v>0</v>
      </c>
      <c r="P16" s="4">
        <f>IFERROR(VLOOKUP("5-144201-7-M",data_code, 2,FALSE),0)</f>
        <v>6</v>
      </c>
      <c r="Q16" s="18">
        <f>IFERROR(VLOOKUP("5-144201-7-F",data_code, 2,FALSE),0)</f>
        <v>0</v>
      </c>
      <c r="R16" s="4">
        <f>IFERROR(VLOOKUP("5-144201-8-M",data_code, 2,FALSE),0)</f>
        <v>0</v>
      </c>
      <c r="S16" s="18">
        <f>IFERROR(VLOOKUP("5-144201-8-F",data_code, 2,FALSE),0)</f>
        <v>0</v>
      </c>
      <c r="T16" s="4">
        <f>IFERROR(VLOOKUP("5-144201-9-M",data_code, 2,FALSE),0)</f>
        <v>0</v>
      </c>
      <c r="U16" s="4">
        <f>IFERROR(VLOOKUP("5-144201-9-F",data_code, 2,FALSE),0)</f>
        <v>0</v>
      </c>
      <c r="V16" s="32">
        <f t="shared" si="0"/>
        <v>23</v>
      </c>
      <c r="W16" s="18">
        <f t="shared" si="1"/>
        <v>4</v>
      </c>
      <c r="X16" s="28">
        <f t="shared" si="2"/>
        <v>27</v>
      </c>
    </row>
    <row r="17" spans="1:24">
      <c r="A17" s="83"/>
      <c r="B17" s="5">
        <v>16.010100000000001</v>
      </c>
      <c r="C17" s="6" t="s">
        <v>74</v>
      </c>
      <c r="D17" s="4">
        <f>IFERROR(VLOOKUP("5-160101-1-M",data_code, 2,FALSE),0)</f>
        <v>0</v>
      </c>
      <c r="E17" s="18">
        <f>IFERROR(VLOOKUP("5-160101-1-F",data_code, 2,FALSE),0)</f>
        <v>0</v>
      </c>
      <c r="F17" s="4">
        <f>IFERROR(VLOOKUP("5-160101-2-M",data_code, 2,FALSE),0)</f>
        <v>1</v>
      </c>
      <c r="G17" s="18">
        <f>IFERROR(VLOOKUP("5-160101-2-F",data_code, 2,FALSE),0)</f>
        <v>1</v>
      </c>
      <c r="H17" s="32">
        <f>IFERROR(VLOOKUP("5-160101-3-M",data_code, 2,FALSE),0)</f>
        <v>0</v>
      </c>
      <c r="I17" s="18">
        <f>IFERROR(VLOOKUP("5-160101-3-F",data_code, 2,FALSE),0)</f>
        <v>0</v>
      </c>
      <c r="J17" s="32">
        <f>IFERROR(VLOOKUP("5-160101-4-M",data_code, 2,FALSE),0)</f>
        <v>0</v>
      </c>
      <c r="K17" s="18">
        <f>IFERROR(VLOOKUP("5-160101-4-F",data_code, 2,FALSE),0)</f>
        <v>0</v>
      </c>
      <c r="L17" s="4">
        <f>IFERROR(VLOOKUP("5-160101-5-M",data_code, 2,FALSE),0)</f>
        <v>0</v>
      </c>
      <c r="M17" s="18">
        <f>IFERROR(VLOOKUP("5-160101-5-F",data_code, 2,FALSE),0)</f>
        <v>1</v>
      </c>
      <c r="N17" s="4">
        <f>IFERROR(VLOOKUP("5-160101-6-M",data_code, 2,FALSE),0)</f>
        <v>0</v>
      </c>
      <c r="O17" s="18">
        <f>IFERROR(VLOOKUP("5-160101-6-F",data_code, 2,FALSE),0)</f>
        <v>0</v>
      </c>
      <c r="P17" s="4">
        <f>IFERROR(VLOOKUP("5-160101-7-M",data_code, 2,FALSE),0)</f>
        <v>2</v>
      </c>
      <c r="Q17" s="18">
        <f>IFERROR(VLOOKUP("5-160101-7-F",data_code, 2,FALSE),0)</f>
        <v>5</v>
      </c>
      <c r="R17" s="4">
        <f>IFERROR(VLOOKUP("5-160101-8-M",data_code, 2,FALSE),0)</f>
        <v>0</v>
      </c>
      <c r="S17" s="18">
        <f>IFERROR(VLOOKUP("5-160101-8-F",data_code, 2,FALSE),0)</f>
        <v>0</v>
      </c>
      <c r="T17" s="4">
        <f>IFERROR(VLOOKUP("5-160101-9-M",data_code, 2,FALSE),0)</f>
        <v>0</v>
      </c>
      <c r="U17" s="4">
        <f>IFERROR(VLOOKUP("5-160101-9-F",data_code, 2,FALSE),0)</f>
        <v>0</v>
      </c>
      <c r="V17" s="32">
        <f t="shared" si="0"/>
        <v>3</v>
      </c>
      <c r="W17" s="18">
        <f t="shared" si="1"/>
        <v>7</v>
      </c>
      <c r="X17" s="28">
        <f t="shared" si="2"/>
        <v>10</v>
      </c>
    </row>
    <row r="18" spans="1:24">
      <c r="A18" s="83"/>
      <c r="B18" s="5">
        <v>23.010100000000001</v>
      </c>
      <c r="C18" s="6" t="s">
        <v>75</v>
      </c>
      <c r="D18" s="4">
        <f>IFERROR(VLOOKUP("5-230101-1-M",data_code, 2,FALSE),0)</f>
        <v>0</v>
      </c>
      <c r="E18" s="18">
        <f>IFERROR(VLOOKUP("5-230101-1-F",data_code, 2,FALSE),0)</f>
        <v>0</v>
      </c>
      <c r="F18" s="4">
        <f>IFERROR(VLOOKUP("5-230101-2-M",data_code, 2,FALSE),0)</f>
        <v>0</v>
      </c>
      <c r="G18" s="18">
        <f>IFERROR(VLOOKUP("5-230101-2-F",data_code, 2,FALSE),0)</f>
        <v>3</v>
      </c>
      <c r="H18" s="32">
        <f>IFERROR(VLOOKUP("5-230101-3-M",data_code, 2,FALSE),0)</f>
        <v>0</v>
      </c>
      <c r="I18" s="18">
        <f>IFERROR(VLOOKUP("5-230101-3-F",data_code, 2,FALSE),0)</f>
        <v>0</v>
      </c>
      <c r="J18" s="32">
        <f>IFERROR(VLOOKUP("5-230101-4-M",data_code, 2,FALSE),0)</f>
        <v>0</v>
      </c>
      <c r="K18" s="18">
        <f>IFERROR(VLOOKUP("5-230101-4-F",data_code, 2,FALSE),0)</f>
        <v>0</v>
      </c>
      <c r="L18" s="4">
        <f>IFERROR(VLOOKUP("5-230101-5-M",data_code, 2,FALSE),0)</f>
        <v>2</v>
      </c>
      <c r="M18" s="18">
        <f>IFERROR(VLOOKUP("5-230101-5-F",data_code, 2,FALSE),0)</f>
        <v>1</v>
      </c>
      <c r="N18" s="4">
        <f>IFERROR(VLOOKUP("5-230101-6-M",data_code, 2,FALSE),0)</f>
        <v>0</v>
      </c>
      <c r="O18" s="18">
        <f>IFERROR(VLOOKUP("5-230101-6-F",data_code, 2,FALSE),0)</f>
        <v>0</v>
      </c>
      <c r="P18" s="4">
        <f>IFERROR(VLOOKUP("5-230101-7-M",data_code, 2,FALSE),0)</f>
        <v>5</v>
      </c>
      <c r="Q18" s="18">
        <f>IFERROR(VLOOKUP("5-230101-7-F",data_code, 2,FALSE),0)</f>
        <v>17</v>
      </c>
      <c r="R18" s="4">
        <f>IFERROR(VLOOKUP("5-230101-8-M",data_code, 2,FALSE),0)</f>
        <v>1</v>
      </c>
      <c r="S18" s="18">
        <f>IFERROR(VLOOKUP("5-230101-8-F",data_code, 2,FALSE),0)</f>
        <v>2</v>
      </c>
      <c r="T18" s="4">
        <f>IFERROR(VLOOKUP("5-230101-9-M",data_code, 2,FALSE),0)</f>
        <v>0</v>
      </c>
      <c r="U18" s="4">
        <f>IFERROR(VLOOKUP("5-230101-9-F",data_code, 2,FALSE),0)</f>
        <v>1</v>
      </c>
      <c r="V18" s="32">
        <f t="shared" si="0"/>
        <v>8</v>
      </c>
      <c r="W18" s="18">
        <f t="shared" si="1"/>
        <v>24</v>
      </c>
      <c r="X18" s="28">
        <f t="shared" si="2"/>
        <v>32</v>
      </c>
    </row>
    <row r="19" spans="1:24">
      <c r="A19" s="83"/>
      <c r="B19" s="5">
        <v>24.010100000000001</v>
      </c>
      <c r="C19" s="6" t="s">
        <v>76</v>
      </c>
      <c r="D19" s="4">
        <f>IFERROR(VLOOKUP("5-240101-1-M",data_code, 2,FALSE),0)</f>
        <v>0</v>
      </c>
      <c r="E19" s="18">
        <f>IFERROR(VLOOKUP("5-240101-1-F",data_code, 2,FALSE),0)</f>
        <v>0</v>
      </c>
      <c r="F19" s="4">
        <f>IFERROR(VLOOKUP("5-240101-2-M",data_code, 2,FALSE),0)</f>
        <v>0</v>
      </c>
      <c r="G19" s="18">
        <f>IFERROR(VLOOKUP("5-240101-2-F",data_code, 2,FALSE),0)</f>
        <v>0</v>
      </c>
      <c r="H19" s="32">
        <f>IFERROR(VLOOKUP("5-240101-3-M",data_code, 2,FALSE),0)</f>
        <v>0</v>
      </c>
      <c r="I19" s="18">
        <f>IFERROR(VLOOKUP("5-240101-3-F",data_code, 2,FALSE),0)</f>
        <v>0</v>
      </c>
      <c r="J19" s="32">
        <f>IFERROR(VLOOKUP("5-240101-4-M",data_code, 2,FALSE),0)</f>
        <v>0</v>
      </c>
      <c r="K19" s="18">
        <f>IFERROR(VLOOKUP("5-240101-4-F",data_code, 2,FALSE),0)</f>
        <v>0</v>
      </c>
      <c r="L19" s="4">
        <f>IFERROR(VLOOKUP("5-240101-5-M",data_code, 2,FALSE),0)</f>
        <v>1</v>
      </c>
      <c r="M19" s="18">
        <f>IFERROR(VLOOKUP("5-240101-5-F",data_code, 2,FALSE),0)</f>
        <v>2</v>
      </c>
      <c r="N19" s="4">
        <f>IFERROR(VLOOKUP("5-240101-6-M",data_code, 2,FALSE),0)</f>
        <v>0</v>
      </c>
      <c r="O19" s="18">
        <f>IFERROR(VLOOKUP("5-240101-6-F",data_code, 2,FALSE),0)</f>
        <v>0</v>
      </c>
      <c r="P19" s="4">
        <f>IFERROR(VLOOKUP("5-240101-7-M",data_code, 2,FALSE),0)</f>
        <v>4</v>
      </c>
      <c r="Q19" s="18">
        <f>IFERROR(VLOOKUP("5-240101-7-F",data_code, 2,FALSE),0)</f>
        <v>5</v>
      </c>
      <c r="R19" s="4">
        <f>IFERROR(VLOOKUP("5-240101-8-M",data_code, 2,FALSE),0)</f>
        <v>0</v>
      </c>
      <c r="S19" s="18">
        <f>IFERROR(VLOOKUP("5-240101-8-F",data_code, 2,FALSE),0)</f>
        <v>0</v>
      </c>
      <c r="T19" s="4">
        <f>IFERROR(VLOOKUP("5-240101-9-M",data_code, 2,FALSE),0)</f>
        <v>0</v>
      </c>
      <c r="U19" s="4">
        <f>IFERROR(VLOOKUP("5-240101-9-F",data_code, 2,FALSE),0)</f>
        <v>0</v>
      </c>
      <c r="V19" s="32">
        <f t="shared" si="0"/>
        <v>5</v>
      </c>
      <c r="W19" s="18">
        <f t="shared" si="1"/>
        <v>7</v>
      </c>
      <c r="X19" s="28">
        <f t="shared" si="2"/>
        <v>12</v>
      </c>
    </row>
    <row r="20" spans="1:24">
      <c r="A20" s="83"/>
      <c r="B20" s="5">
        <v>26.010100000000001</v>
      </c>
      <c r="C20" s="6" t="s">
        <v>77</v>
      </c>
      <c r="D20" s="4">
        <f>IFERROR(VLOOKUP("5-260101-1-M",data_code, 2,FALSE),0)</f>
        <v>1</v>
      </c>
      <c r="E20" s="18">
        <f>IFERROR(VLOOKUP("5-260101-1-F",data_code, 2,FALSE),0)</f>
        <v>0</v>
      </c>
      <c r="F20" s="4">
        <f>IFERROR(VLOOKUP("5-260101-2-M",data_code, 2,FALSE),0)</f>
        <v>3</v>
      </c>
      <c r="G20" s="18">
        <f>IFERROR(VLOOKUP("5-260101-2-F",data_code, 2,FALSE),0)</f>
        <v>8</v>
      </c>
      <c r="H20" s="32">
        <f>IFERROR(VLOOKUP("5-260101-3-M",data_code, 2,FALSE),0)</f>
        <v>0</v>
      </c>
      <c r="I20" s="18">
        <f>IFERROR(VLOOKUP("5-260101-3-F",data_code, 2,FALSE),0)</f>
        <v>0</v>
      </c>
      <c r="J20" s="32">
        <f>IFERROR(VLOOKUP("5-260101-4-M",data_code, 2,FALSE),0)</f>
        <v>1</v>
      </c>
      <c r="K20" s="18">
        <f>IFERROR(VLOOKUP("5-260101-4-F",data_code, 2,FALSE),0)</f>
        <v>2</v>
      </c>
      <c r="L20" s="4">
        <f>IFERROR(VLOOKUP("5-260101-5-M",data_code, 2,FALSE),0)</f>
        <v>1</v>
      </c>
      <c r="M20" s="18">
        <f>IFERROR(VLOOKUP("5-260101-5-F",data_code, 2,FALSE),0)</f>
        <v>4</v>
      </c>
      <c r="N20" s="4">
        <f>IFERROR(VLOOKUP("5-260101-6-M",data_code, 2,FALSE),0)</f>
        <v>0</v>
      </c>
      <c r="O20" s="18">
        <f>IFERROR(VLOOKUP("5-260101-6-F",data_code, 2,FALSE),0)</f>
        <v>0</v>
      </c>
      <c r="P20" s="4">
        <f>IFERROR(VLOOKUP("5-260101-7-M",data_code, 2,FALSE),0)</f>
        <v>19</v>
      </c>
      <c r="Q20" s="18">
        <f>IFERROR(VLOOKUP("5-260101-7-F",data_code, 2,FALSE),0)</f>
        <v>52</v>
      </c>
      <c r="R20" s="4">
        <f>IFERROR(VLOOKUP("5-260101-8-M",data_code, 2,FALSE),0)</f>
        <v>4</v>
      </c>
      <c r="S20" s="18">
        <f>IFERROR(VLOOKUP("5-260101-8-F",data_code, 2,FALSE),0)</f>
        <v>1</v>
      </c>
      <c r="T20" s="4">
        <f>IFERROR(VLOOKUP("5-260101-9-M",data_code, 2,FALSE),0)</f>
        <v>0</v>
      </c>
      <c r="U20" s="4">
        <f>IFERROR(VLOOKUP("5-260101-9-F",data_code, 2,FALSE),0)</f>
        <v>1</v>
      </c>
      <c r="V20" s="32">
        <f t="shared" si="0"/>
        <v>29</v>
      </c>
      <c r="W20" s="18">
        <f t="shared" si="1"/>
        <v>68</v>
      </c>
      <c r="X20" s="28">
        <f t="shared" si="2"/>
        <v>97</v>
      </c>
    </row>
    <row r="21" spans="1:24">
      <c r="A21" s="83"/>
      <c r="B21" s="5">
        <v>27.010100000000001</v>
      </c>
      <c r="C21" s="6" t="s">
        <v>78</v>
      </c>
      <c r="D21" s="4">
        <f>IFERROR(VLOOKUP("5-270101-1-M",data_code, 2,FALSE),0)</f>
        <v>0</v>
      </c>
      <c r="E21" s="18">
        <f>IFERROR(VLOOKUP("5-270101-1-F",data_code, 2,FALSE),0)</f>
        <v>0</v>
      </c>
      <c r="F21" s="4">
        <f>IFERROR(VLOOKUP("5-270101-2-M",data_code, 2,FALSE),0)</f>
        <v>0</v>
      </c>
      <c r="G21" s="18">
        <f>IFERROR(VLOOKUP("5-270101-2-F",data_code, 2,FALSE),0)</f>
        <v>1</v>
      </c>
      <c r="H21" s="32">
        <f>IFERROR(VLOOKUP("5-270101-3-M",data_code, 2,FALSE),0)</f>
        <v>0</v>
      </c>
      <c r="I21" s="18">
        <f>IFERROR(VLOOKUP("5-270101-3-F",data_code, 2,FALSE),0)</f>
        <v>0</v>
      </c>
      <c r="J21" s="32">
        <f>IFERROR(VLOOKUP("5-270101-4-M",data_code, 2,FALSE),0)</f>
        <v>1</v>
      </c>
      <c r="K21" s="18">
        <f>IFERROR(VLOOKUP("5-270101-4-F",data_code, 2,FALSE),0)</f>
        <v>0</v>
      </c>
      <c r="L21" s="4">
        <f>IFERROR(VLOOKUP("5-270101-5-M",data_code, 2,FALSE),0)</f>
        <v>0</v>
      </c>
      <c r="M21" s="18">
        <f>IFERROR(VLOOKUP("5-270101-5-F",data_code, 2,FALSE),0)</f>
        <v>0</v>
      </c>
      <c r="N21" s="4">
        <f>IFERROR(VLOOKUP("5-270101-6-M",data_code, 2,FALSE),0)</f>
        <v>0</v>
      </c>
      <c r="O21" s="18">
        <f>IFERROR(VLOOKUP("5-270101-6-F",data_code, 2,FALSE),0)</f>
        <v>0</v>
      </c>
      <c r="P21" s="4">
        <f>IFERROR(VLOOKUP("5-270101-7-M",data_code, 2,FALSE),0)</f>
        <v>5</v>
      </c>
      <c r="Q21" s="18">
        <f>IFERROR(VLOOKUP("5-270101-7-F",data_code, 2,FALSE),0)</f>
        <v>3</v>
      </c>
      <c r="R21" s="4">
        <f>IFERROR(VLOOKUP("5-270101-8-M",data_code, 2,FALSE),0)</f>
        <v>0</v>
      </c>
      <c r="S21" s="18">
        <f>IFERROR(VLOOKUP("5-270101-8-F",data_code, 2,FALSE),0)</f>
        <v>0</v>
      </c>
      <c r="T21" s="4">
        <f>IFERROR(VLOOKUP("5-270101-9-M",data_code, 2,FALSE),0)</f>
        <v>0</v>
      </c>
      <c r="U21" s="4">
        <f>IFERROR(VLOOKUP("5-270101-9-F",data_code, 2,FALSE),0)</f>
        <v>0</v>
      </c>
      <c r="V21" s="32">
        <f t="shared" si="0"/>
        <v>6</v>
      </c>
      <c r="W21" s="18">
        <f t="shared" si="1"/>
        <v>4</v>
      </c>
      <c r="X21" s="28">
        <f t="shared" si="2"/>
        <v>10</v>
      </c>
    </row>
    <row r="22" spans="1:24">
      <c r="A22" s="83"/>
      <c r="B22" s="5" t="s">
        <v>11</v>
      </c>
      <c r="C22" s="6" t="s">
        <v>79</v>
      </c>
      <c r="D22" s="4">
        <f>IFERROR(VLOOKUP("5-300000-1-M",data_code, 2,FALSE),0)</f>
        <v>0</v>
      </c>
      <c r="E22" s="18">
        <f>IFERROR(VLOOKUP("5-300000-1-F",data_code, 2,FALSE),0)</f>
        <v>0</v>
      </c>
      <c r="F22" s="4">
        <f>IFERROR(VLOOKUP("5-300000-2-M",data_code, 2,FALSE),0)</f>
        <v>3</v>
      </c>
      <c r="G22" s="18">
        <f>IFERROR(VLOOKUP("5-300000-2-F",data_code, 2,FALSE),0)</f>
        <v>2</v>
      </c>
      <c r="H22" s="32">
        <f>IFERROR(VLOOKUP("5-300000-3-M",data_code, 2,FALSE),0)</f>
        <v>0</v>
      </c>
      <c r="I22" s="18">
        <f>IFERROR(VLOOKUP("5-300000-3-F",data_code, 2,FALSE),0)</f>
        <v>1</v>
      </c>
      <c r="J22" s="32">
        <f>IFERROR(VLOOKUP("5-300000-4-M",data_code, 2,FALSE),0)</f>
        <v>0</v>
      </c>
      <c r="K22" s="18">
        <f>IFERROR(VLOOKUP("5-300000-4-F",data_code, 2,FALSE),0)</f>
        <v>1</v>
      </c>
      <c r="L22" s="4">
        <f>IFERROR(VLOOKUP("5-300000-5-M",data_code, 2,FALSE),0)</f>
        <v>5</v>
      </c>
      <c r="M22" s="18">
        <f>IFERROR(VLOOKUP("5-300000-5-F",data_code, 2,FALSE),0)</f>
        <v>13</v>
      </c>
      <c r="N22" s="4">
        <f>IFERROR(VLOOKUP("5-300000-6-M",data_code, 2,FALSE),0)</f>
        <v>0</v>
      </c>
      <c r="O22" s="18">
        <f>IFERROR(VLOOKUP("5-300000-6-F",data_code, 2,FALSE),0)</f>
        <v>0</v>
      </c>
      <c r="P22" s="4">
        <f>IFERROR(VLOOKUP("5-300000-7-M",data_code, 2,FALSE),0)</f>
        <v>8</v>
      </c>
      <c r="Q22" s="18">
        <f>IFERROR(VLOOKUP("5-300000-7-F",data_code, 2,FALSE),0)</f>
        <v>16</v>
      </c>
      <c r="R22" s="4">
        <f>IFERROR(VLOOKUP("5-300000-8-M",data_code, 2,FALSE),0)</f>
        <v>1</v>
      </c>
      <c r="S22" s="18">
        <f>IFERROR(VLOOKUP("5-300000-8-F",data_code, 2,FALSE),0)</f>
        <v>1</v>
      </c>
      <c r="T22" s="4">
        <f>IFERROR(VLOOKUP("5-300000-9-M",data_code, 2,FALSE),0)</f>
        <v>0</v>
      </c>
      <c r="U22" s="4">
        <f>IFERROR(VLOOKUP("5-300000-9-F",data_code, 2,FALSE),0)</f>
        <v>4</v>
      </c>
      <c r="V22" s="32">
        <f t="shared" si="0"/>
        <v>17</v>
      </c>
      <c r="W22" s="18">
        <f t="shared" si="1"/>
        <v>38</v>
      </c>
      <c r="X22" s="28">
        <f t="shared" si="2"/>
        <v>55</v>
      </c>
    </row>
    <row r="23" spans="1:24">
      <c r="A23" s="83"/>
      <c r="B23" s="5">
        <v>30.200099999999999</v>
      </c>
      <c r="C23" s="6" t="s">
        <v>80</v>
      </c>
      <c r="D23" s="4">
        <f>IFERROR(VLOOKUP("5-302001-1-M",data_code, 2,FALSE),0)</f>
        <v>1</v>
      </c>
      <c r="E23" s="18">
        <f>IFERROR(VLOOKUP("5-302001-1-F",data_code, 2,FALSE),0)</f>
        <v>0</v>
      </c>
      <c r="F23" s="4">
        <f>IFERROR(VLOOKUP("5-302001-2-M",data_code, 2,FALSE),0)</f>
        <v>0</v>
      </c>
      <c r="G23" s="18">
        <f>IFERROR(VLOOKUP("5-302001-2-F",data_code, 2,FALSE),0)</f>
        <v>2</v>
      </c>
      <c r="H23" s="32">
        <f>IFERROR(VLOOKUP("5-302001-3-M",data_code, 2,FALSE),0)</f>
        <v>0</v>
      </c>
      <c r="I23" s="18">
        <f>IFERROR(VLOOKUP("5-302001-3-F",data_code, 2,FALSE),0)</f>
        <v>0</v>
      </c>
      <c r="J23" s="32">
        <f>IFERROR(VLOOKUP("5-302001-4-M",data_code, 2,FALSE),0)</f>
        <v>0</v>
      </c>
      <c r="K23" s="18">
        <f>IFERROR(VLOOKUP("5-302001-4-F",data_code, 2,FALSE),0)</f>
        <v>1</v>
      </c>
      <c r="L23" s="4">
        <f>IFERROR(VLOOKUP("5-302001-5-M",data_code, 2,FALSE),0)</f>
        <v>0</v>
      </c>
      <c r="M23" s="18">
        <f>IFERROR(VLOOKUP("5-302001-5-F",data_code, 2,FALSE),0)</f>
        <v>1</v>
      </c>
      <c r="N23" s="4">
        <f>IFERROR(VLOOKUP("5-302001-6-M",data_code, 2,FALSE),0)</f>
        <v>0</v>
      </c>
      <c r="O23" s="18">
        <f>IFERROR(VLOOKUP("5-302001-6-F",data_code, 2,FALSE),0)</f>
        <v>0</v>
      </c>
      <c r="P23" s="4">
        <f>IFERROR(VLOOKUP("5-302001-7-M",data_code, 2,FALSE),0)</f>
        <v>0</v>
      </c>
      <c r="Q23" s="18">
        <f>IFERROR(VLOOKUP("5-302001-7-F",data_code, 2,FALSE),0)</f>
        <v>0</v>
      </c>
      <c r="R23" s="4">
        <f>IFERROR(VLOOKUP("5-302001-8-M",data_code, 2,FALSE),0)</f>
        <v>0</v>
      </c>
      <c r="S23" s="18">
        <f>IFERROR(VLOOKUP("5-302001-8-F",data_code, 2,FALSE),0)</f>
        <v>0</v>
      </c>
      <c r="T23" s="4">
        <f>IFERROR(VLOOKUP("5-302001-9-M",data_code, 2,FALSE),0)</f>
        <v>0</v>
      </c>
      <c r="U23" s="4">
        <f>IFERROR(VLOOKUP("5-302001-9-F",data_code, 2,FALSE),0)</f>
        <v>0</v>
      </c>
      <c r="V23" s="32">
        <f t="shared" si="0"/>
        <v>1</v>
      </c>
      <c r="W23" s="18">
        <f t="shared" si="1"/>
        <v>4</v>
      </c>
      <c r="X23" s="28">
        <f t="shared" si="2"/>
        <v>5</v>
      </c>
    </row>
    <row r="24" spans="1:24">
      <c r="A24" s="83"/>
      <c r="B24" s="5" t="s">
        <v>726</v>
      </c>
      <c r="C24" s="6" t="s">
        <v>727</v>
      </c>
      <c r="D24" s="4">
        <f>IFERROR(VLOOKUP("5-304401-1-M",data_code, 2,FALSE),0)</f>
        <v>0</v>
      </c>
      <c r="E24" s="18">
        <f>IFERROR(VLOOKUP("5-304401-1-F",data_code, 2,FALSE),0)</f>
        <v>0</v>
      </c>
      <c r="F24" s="4">
        <f>IFERROR(VLOOKUP("5-304401-2-M",data_code, 2,FALSE),0)</f>
        <v>0</v>
      </c>
      <c r="G24" s="18">
        <f>IFERROR(VLOOKUP("5-304401-2-F",data_code, 2,FALSE),0)</f>
        <v>0</v>
      </c>
      <c r="H24" s="32">
        <f>IFERROR(VLOOKUP("5-304401-3-M",data_code, 2,FALSE),0)</f>
        <v>0</v>
      </c>
      <c r="I24" s="18">
        <f>IFERROR(VLOOKUP("5-304401-3-F",data_code, 2,FALSE),0)</f>
        <v>0</v>
      </c>
      <c r="J24" s="32">
        <f>IFERROR(VLOOKUP("5-304401-4-M",data_code, 2,FALSE),0)</f>
        <v>0</v>
      </c>
      <c r="K24" s="18">
        <f>IFERROR(VLOOKUP("5-304401-4-F",data_code, 2,FALSE),0)</f>
        <v>0</v>
      </c>
      <c r="L24" s="4">
        <f>IFERROR(VLOOKUP("5-304401-5-M",data_code, 2,FALSE),0)</f>
        <v>0</v>
      </c>
      <c r="M24" s="18">
        <f>IFERROR(VLOOKUP("5-304401-5-F",data_code, 2,FALSE),0)</f>
        <v>0</v>
      </c>
      <c r="N24" s="4">
        <f>IFERROR(VLOOKUP("5-304401-6-M",data_code, 2,FALSE),0)</f>
        <v>0</v>
      </c>
      <c r="O24" s="18">
        <f>IFERROR(VLOOKUP("5-304401-6-F",data_code, 2,FALSE),0)</f>
        <v>0</v>
      </c>
      <c r="P24" s="4">
        <f>IFERROR(VLOOKUP("5-304401-7-M",data_code, 2,FALSE),0)</f>
        <v>13</v>
      </c>
      <c r="Q24" s="18">
        <f>IFERROR(VLOOKUP("5-304401-7-F",data_code, 2,FALSE),0)</f>
        <v>7</v>
      </c>
      <c r="R24" s="4">
        <f>IFERROR(VLOOKUP("5-304401-8-M",data_code, 2,FALSE),0)</f>
        <v>0</v>
      </c>
      <c r="S24" s="18">
        <f>IFERROR(VLOOKUP("5-304401-8-F",data_code, 2,FALSE),0)</f>
        <v>0</v>
      </c>
      <c r="T24" s="4">
        <f>IFERROR(VLOOKUP("5-304401-9-M",data_code, 2,FALSE),0)</f>
        <v>0</v>
      </c>
      <c r="U24" s="4">
        <f>IFERROR(VLOOKUP("5-304401-9-F",data_code, 2,FALSE),0)</f>
        <v>0</v>
      </c>
      <c r="V24" s="32">
        <f t="shared" ref="V24" si="3">SUMIF($D$2:$U$2,"Men",D24:U24)</f>
        <v>13</v>
      </c>
      <c r="W24" s="18">
        <f t="shared" ref="W24" si="4">SUMIF($D$2:$U$2,"Women",D24:U24)</f>
        <v>7</v>
      </c>
      <c r="X24" s="28">
        <f t="shared" ref="X24" si="5">SUM(V24:W24)</f>
        <v>20</v>
      </c>
    </row>
    <row r="25" spans="1:24">
      <c r="A25" s="83"/>
      <c r="B25" s="5">
        <v>31.0505</v>
      </c>
      <c r="C25" s="6" t="s">
        <v>81</v>
      </c>
      <c r="D25" s="4">
        <f>IFERROR(VLOOKUP("5-310505-1-M",data_code, 2,FALSE),0)</f>
        <v>0</v>
      </c>
      <c r="E25" s="18">
        <f>IFERROR(VLOOKUP("5-310505-1-F",data_code, 2,FALSE),0)</f>
        <v>0</v>
      </c>
      <c r="F25" s="4">
        <f>IFERROR(VLOOKUP("5-310505-2-M",data_code, 2,FALSE),0)</f>
        <v>1</v>
      </c>
      <c r="G25" s="18">
        <f>IFERROR(VLOOKUP("5-310505-2-F",data_code, 2,FALSE),0)</f>
        <v>2</v>
      </c>
      <c r="H25" s="32">
        <f>IFERROR(VLOOKUP("5-310505-3-M",data_code, 2,FALSE),0)</f>
        <v>0</v>
      </c>
      <c r="I25" s="18">
        <f>IFERROR(VLOOKUP("5-310505-3-F",data_code, 2,FALSE),0)</f>
        <v>0</v>
      </c>
      <c r="J25" s="32">
        <f>IFERROR(VLOOKUP("5-310505-4-M",data_code, 2,FALSE),0)</f>
        <v>0</v>
      </c>
      <c r="K25" s="18">
        <f>IFERROR(VLOOKUP("5-310505-4-F",data_code, 2,FALSE),0)</f>
        <v>2</v>
      </c>
      <c r="L25" s="4">
        <f>IFERROR(VLOOKUP("5-310505-5-M",data_code, 2,FALSE),0)</f>
        <v>1</v>
      </c>
      <c r="M25" s="18">
        <f>IFERROR(VLOOKUP("5-310505-5-F",data_code, 2,FALSE),0)</f>
        <v>5</v>
      </c>
      <c r="N25" s="4">
        <f>IFERROR(VLOOKUP("5-310505-6-M",data_code, 2,FALSE),0)</f>
        <v>0</v>
      </c>
      <c r="O25" s="18">
        <f>IFERROR(VLOOKUP("5-310505-6-F",data_code, 2,FALSE),0)</f>
        <v>0</v>
      </c>
      <c r="P25" s="4">
        <f>IFERROR(VLOOKUP("5-310505-7-M",data_code, 2,FALSE),0)</f>
        <v>18</v>
      </c>
      <c r="Q25" s="18">
        <f>IFERROR(VLOOKUP("5-310505-7-F",data_code, 2,FALSE),0)</f>
        <v>22</v>
      </c>
      <c r="R25" s="4">
        <f>IFERROR(VLOOKUP("5-310505-8-M",data_code, 2,FALSE),0)</f>
        <v>1</v>
      </c>
      <c r="S25" s="18">
        <f>IFERROR(VLOOKUP("5-310505-8-F",data_code, 2,FALSE),0)</f>
        <v>2</v>
      </c>
      <c r="T25" s="4">
        <f>IFERROR(VLOOKUP("5-310505-9-M",data_code, 2,FALSE),0)</f>
        <v>1</v>
      </c>
      <c r="U25" s="4">
        <f>IFERROR(VLOOKUP("5-310505-9-F",data_code, 2,FALSE),0)</f>
        <v>1</v>
      </c>
      <c r="V25" s="32">
        <f t="shared" si="0"/>
        <v>22</v>
      </c>
      <c r="W25" s="18">
        <f t="shared" si="1"/>
        <v>34</v>
      </c>
      <c r="X25" s="28">
        <f t="shared" si="2"/>
        <v>56</v>
      </c>
    </row>
    <row r="26" spans="1:24">
      <c r="A26" s="83"/>
      <c r="B26" s="5">
        <v>38.010100000000001</v>
      </c>
      <c r="C26" s="6" t="s">
        <v>82</v>
      </c>
      <c r="D26" s="4">
        <f>IFERROR(VLOOKUP("5-380101-1-M",data_code, 2,FALSE),0)</f>
        <v>0</v>
      </c>
      <c r="E26" s="18">
        <f>IFERROR(VLOOKUP("5-380101-1-F",data_code, 2,FALSE),0)</f>
        <v>0</v>
      </c>
      <c r="F26" s="4">
        <f>IFERROR(VLOOKUP("5-380101-2-M",data_code, 2,FALSE),0)</f>
        <v>0</v>
      </c>
      <c r="G26" s="18">
        <f>IFERROR(VLOOKUP("5-380101-2-F",data_code, 2,FALSE),0)</f>
        <v>0</v>
      </c>
      <c r="H26" s="32">
        <f>IFERROR(VLOOKUP("5-380101-3-M",data_code, 2,FALSE),0)</f>
        <v>0</v>
      </c>
      <c r="I26" s="18">
        <f>IFERROR(VLOOKUP("5-380101-3-F",data_code, 2,FALSE),0)</f>
        <v>0</v>
      </c>
      <c r="J26" s="32">
        <f>IFERROR(VLOOKUP("5-380101-4-M",data_code, 2,FALSE),0)</f>
        <v>0</v>
      </c>
      <c r="K26" s="18">
        <f>IFERROR(VLOOKUP("5-380101-4-F",data_code, 2,FALSE),0)</f>
        <v>0</v>
      </c>
      <c r="L26" s="4">
        <f>IFERROR(VLOOKUP("5-380101-5-M",data_code, 2,FALSE),0)</f>
        <v>0</v>
      </c>
      <c r="M26" s="18">
        <f>IFERROR(VLOOKUP("5-380101-5-F",data_code, 2,FALSE),0)</f>
        <v>0</v>
      </c>
      <c r="N26" s="4">
        <f>IFERROR(VLOOKUP("5-380101-6-M",data_code, 2,FALSE),0)</f>
        <v>0</v>
      </c>
      <c r="O26" s="18">
        <f>IFERROR(VLOOKUP("5-380101-6-F",data_code, 2,FALSE),0)</f>
        <v>0</v>
      </c>
      <c r="P26" s="4">
        <f>IFERROR(VLOOKUP("5-380101-7-M",data_code, 2,FALSE),0)</f>
        <v>3</v>
      </c>
      <c r="Q26" s="18">
        <f>IFERROR(VLOOKUP("5-380101-7-F",data_code, 2,FALSE),0)</f>
        <v>2</v>
      </c>
      <c r="R26" s="4">
        <f>IFERROR(VLOOKUP("5-380101-8-M",data_code, 2,FALSE),0)</f>
        <v>0</v>
      </c>
      <c r="S26" s="18">
        <f>IFERROR(VLOOKUP("5-380101-8-F",data_code, 2,FALSE),0)</f>
        <v>0</v>
      </c>
      <c r="T26" s="4">
        <f>IFERROR(VLOOKUP("5-380101-9-M",data_code, 2,FALSE),0)</f>
        <v>0</v>
      </c>
      <c r="U26" s="4">
        <f>IFERROR(VLOOKUP("5-380101-9-F",data_code, 2,FALSE),0)</f>
        <v>0</v>
      </c>
      <c r="V26" s="32">
        <f t="shared" si="0"/>
        <v>3</v>
      </c>
      <c r="W26" s="18">
        <f t="shared" si="1"/>
        <v>2</v>
      </c>
      <c r="X26" s="28">
        <f t="shared" si="2"/>
        <v>5</v>
      </c>
    </row>
    <row r="27" spans="1:24">
      <c r="A27" s="83"/>
      <c r="B27" s="5">
        <v>40.0501</v>
      </c>
      <c r="C27" s="6" t="s">
        <v>83</v>
      </c>
      <c r="D27" s="4">
        <f>IFERROR(VLOOKUP("5-400501-1-M",data_code, 2,FALSE),0)</f>
        <v>0</v>
      </c>
      <c r="E27" s="18">
        <f>IFERROR(VLOOKUP("5-400501-1-F",data_code, 2,FALSE),0)</f>
        <v>1</v>
      </c>
      <c r="F27" s="4">
        <f>IFERROR(VLOOKUP("5-400501-2-M",data_code, 2,FALSE),0)</f>
        <v>1</v>
      </c>
      <c r="G27" s="18">
        <f>IFERROR(VLOOKUP("5-400501-2-F",data_code, 2,FALSE),0)</f>
        <v>1</v>
      </c>
      <c r="H27" s="32">
        <f>IFERROR(VLOOKUP("5-400501-3-M",data_code, 2,FALSE),0)</f>
        <v>0</v>
      </c>
      <c r="I27" s="18">
        <f>IFERROR(VLOOKUP("5-400501-3-F",data_code, 2,FALSE),0)</f>
        <v>0</v>
      </c>
      <c r="J27" s="32">
        <f>IFERROR(VLOOKUP("5-400501-4-M",data_code, 2,FALSE),0)</f>
        <v>0</v>
      </c>
      <c r="K27" s="18">
        <f>IFERROR(VLOOKUP("5-400501-4-F",data_code, 2,FALSE),0)</f>
        <v>2</v>
      </c>
      <c r="L27" s="4">
        <f>IFERROR(VLOOKUP("5-400501-5-M",data_code, 2,FALSE),0)</f>
        <v>0</v>
      </c>
      <c r="M27" s="18">
        <f>IFERROR(VLOOKUP("5-400501-5-F",data_code, 2,FALSE),0)</f>
        <v>1</v>
      </c>
      <c r="N27" s="4">
        <f>IFERROR(VLOOKUP("5-400501-6-M",data_code, 2,FALSE),0)</f>
        <v>0</v>
      </c>
      <c r="O27" s="18">
        <f>IFERROR(VLOOKUP("5-400501-6-F",data_code, 2,FALSE),0)</f>
        <v>0</v>
      </c>
      <c r="P27" s="4">
        <f>IFERROR(VLOOKUP("5-400501-7-M",data_code, 2,FALSE),0)</f>
        <v>10</v>
      </c>
      <c r="Q27" s="18">
        <f>IFERROR(VLOOKUP("5-400501-7-F",data_code, 2,FALSE),0)</f>
        <v>9</v>
      </c>
      <c r="R27" s="4">
        <f>IFERROR(VLOOKUP("5-400501-8-M",data_code, 2,FALSE),0)</f>
        <v>2</v>
      </c>
      <c r="S27" s="18">
        <f>IFERROR(VLOOKUP("5-400501-8-F",data_code, 2,FALSE),0)</f>
        <v>2</v>
      </c>
      <c r="T27" s="4">
        <f>IFERROR(VLOOKUP("5-400501-9-M",data_code, 2,FALSE),0)</f>
        <v>1</v>
      </c>
      <c r="U27" s="4">
        <f>IFERROR(VLOOKUP("5-400501-9-F",data_code, 2,FALSE),0)</f>
        <v>0</v>
      </c>
      <c r="V27" s="32">
        <f t="shared" si="0"/>
        <v>14</v>
      </c>
      <c r="W27" s="18">
        <f t="shared" si="1"/>
        <v>16</v>
      </c>
      <c r="X27" s="28">
        <f t="shared" si="2"/>
        <v>30</v>
      </c>
    </row>
    <row r="28" spans="1:24">
      <c r="A28" s="83"/>
      <c r="B28" s="5">
        <v>40.080100000000002</v>
      </c>
      <c r="C28" s="6" t="s">
        <v>103</v>
      </c>
      <c r="D28" s="4">
        <f>IFERROR(VLOOKUP("5-400801-1-M",data_code, 2,FALSE),0)</f>
        <v>0</v>
      </c>
      <c r="E28" s="18">
        <f>IFERROR(VLOOKUP("5-400801-1-F",data_code, 2,FALSE),0)</f>
        <v>1</v>
      </c>
      <c r="F28" s="4">
        <f>IFERROR(VLOOKUP("5-400801-2-M",data_code, 2,FALSE),0)</f>
        <v>1</v>
      </c>
      <c r="G28" s="18">
        <f>IFERROR(VLOOKUP("5-400801-2-F",data_code, 2,FALSE),0)</f>
        <v>0</v>
      </c>
      <c r="H28" s="32">
        <f>IFERROR(VLOOKUP("5-400801-3-M",data_code, 2,FALSE),0)</f>
        <v>0</v>
      </c>
      <c r="I28" s="18">
        <f>IFERROR(VLOOKUP("5-400801-3-F",data_code, 2,FALSE),0)</f>
        <v>0</v>
      </c>
      <c r="J28" s="32">
        <f>IFERROR(VLOOKUP("5-400801-4-M",data_code, 2,FALSE),0)</f>
        <v>0</v>
      </c>
      <c r="K28" s="18">
        <f>IFERROR(VLOOKUP("5-400801-4-F",data_code, 2,FALSE),0)</f>
        <v>0</v>
      </c>
      <c r="L28" s="4">
        <f>IFERROR(VLOOKUP("5-400801-5-M",data_code, 2,FALSE),0)</f>
        <v>0</v>
      </c>
      <c r="M28" s="18">
        <f>IFERROR(VLOOKUP("5-400801-5-F",data_code, 2,FALSE),0)</f>
        <v>0</v>
      </c>
      <c r="N28" s="4">
        <f>IFERROR(VLOOKUP("5-400801-6-M",data_code, 2,FALSE),0)</f>
        <v>0</v>
      </c>
      <c r="O28" s="18">
        <f>IFERROR(VLOOKUP("5-400801-6-F",data_code, 2,FALSE),0)</f>
        <v>0</v>
      </c>
      <c r="P28" s="4">
        <f>IFERROR(VLOOKUP("5-400801-7-M",data_code, 2,FALSE),0)</f>
        <v>2</v>
      </c>
      <c r="Q28" s="18">
        <f>IFERROR(VLOOKUP("5-400801-7-F",data_code, 2,FALSE),0)</f>
        <v>1</v>
      </c>
      <c r="R28" s="4">
        <f>IFERROR(VLOOKUP("5-400801-8-M",data_code, 2,FALSE),0)</f>
        <v>0</v>
      </c>
      <c r="S28" s="18">
        <f>IFERROR(VLOOKUP("5-400801-8-F",data_code, 2,FALSE),0)</f>
        <v>0</v>
      </c>
      <c r="T28" s="4">
        <f>IFERROR(VLOOKUP("5-400801-9-M",data_code, 2,FALSE),0)</f>
        <v>0</v>
      </c>
      <c r="U28" s="4">
        <f>IFERROR(VLOOKUP("5-400801-9-F",data_code, 2,FALSE),0)</f>
        <v>0</v>
      </c>
      <c r="V28" s="32">
        <f t="shared" si="0"/>
        <v>3</v>
      </c>
      <c r="W28" s="18">
        <f t="shared" si="1"/>
        <v>2</v>
      </c>
      <c r="X28" s="28">
        <f t="shared" si="2"/>
        <v>5</v>
      </c>
    </row>
    <row r="29" spans="1:24">
      <c r="A29" s="83"/>
      <c r="B29" s="5">
        <v>42.010100000000001</v>
      </c>
      <c r="C29" s="6" t="s">
        <v>84</v>
      </c>
      <c r="D29" s="4">
        <f>IFERROR(VLOOKUP("5-420101-1-M",data_code, 2,FALSE),0)</f>
        <v>2</v>
      </c>
      <c r="E29" s="18">
        <f>IFERROR(VLOOKUP("5-420101-1-F",data_code, 2,FALSE),0)</f>
        <v>0</v>
      </c>
      <c r="F29" s="4">
        <f>IFERROR(VLOOKUP("5-420101-2-M",data_code, 2,FALSE),0)</f>
        <v>5</v>
      </c>
      <c r="G29" s="18">
        <f>IFERROR(VLOOKUP("5-420101-2-F",data_code, 2,FALSE),0)</f>
        <v>9</v>
      </c>
      <c r="H29" s="32">
        <f>IFERROR(VLOOKUP("5-420101-3-M",data_code, 2,FALSE),0)</f>
        <v>0</v>
      </c>
      <c r="I29" s="18">
        <f>IFERROR(VLOOKUP("5-420101-3-F",data_code, 2,FALSE),0)</f>
        <v>0</v>
      </c>
      <c r="J29" s="32">
        <f>IFERROR(VLOOKUP("5-420101-4-M",data_code, 2,FALSE),0)</f>
        <v>0</v>
      </c>
      <c r="K29" s="18">
        <f>IFERROR(VLOOKUP("5-420101-4-F",data_code, 2,FALSE),0)</f>
        <v>1</v>
      </c>
      <c r="L29" s="4">
        <f>IFERROR(VLOOKUP("5-420101-5-M",data_code, 2,FALSE),0)</f>
        <v>2</v>
      </c>
      <c r="M29" s="18">
        <f>IFERROR(VLOOKUP("5-420101-5-F",data_code, 2,FALSE),0)</f>
        <v>27</v>
      </c>
      <c r="N29" s="4">
        <f>IFERROR(VLOOKUP("5-420101-6-M",data_code, 2,FALSE),0)</f>
        <v>0</v>
      </c>
      <c r="O29" s="18">
        <f>IFERROR(VLOOKUP("5-420101-6-F",data_code, 2,FALSE),0)</f>
        <v>0</v>
      </c>
      <c r="P29" s="4">
        <f>IFERROR(VLOOKUP("5-420101-7-M",data_code, 2,FALSE),0)</f>
        <v>27</v>
      </c>
      <c r="Q29" s="18">
        <f>IFERROR(VLOOKUP("5-420101-7-F",data_code, 2,FALSE),0)</f>
        <v>85</v>
      </c>
      <c r="R29" s="4">
        <f>IFERROR(VLOOKUP("5-420101-8-M",data_code, 2,FALSE),0)</f>
        <v>1</v>
      </c>
      <c r="S29" s="18">
        <f>IFERROR(VLOOKUP("5-420101-8-F",data_code, 2,FALSE),0)</f>
        <v>2</v>
      </c>
      <c r="T29" s="4">
        <f>IFERROR(VLOOKUP("5-420101-9-M",data_code, 2,FALSE),0)</f>
        <v>0</v>
      </c>
      <c r="U29" s="4">
        <f>IFERROR(VLOOKUP("5-420101-9-F",data_code, 2,FALSE),0)</f>
        <v>5</v>
      </c>
      <c r="V29" s="32">
        <f t="shared" si="0"/>
        <v>37</v>
      </c>
      <c r="W29" s="18">
        <f t="shared" si="1"/>
        <v>129</v>
      </c>
      <c r="X29" s="28">
        <f t="shared" si="2"/>
        <v>166</v>
      </c>
    </row>
    <row r="30" spans="1:24">
      <c r="A30" s="83"/>
      <c r="B30" s="5">
        <v>43.010399999999997</v>
      </c>
      <c r="C30" s="6" t="s">
        <v>85</v>
      </c>
      <c r="D30" s="4">
        <f>IFERROR(VLOOKUP("5-430104-1-M",data_code, 2,FALSE),0)</f>
        <v>0</v>
      </c>
      <c r="E30" s="18">
        <f>IFERROR(VLOOKUP("5-430104-1-F",data_code, 2,FALSE),0)</f>
        <v>0</v>
      </c>
      <c r="F30" s="4">
        <f>IFERROR(VLOOKUP("5-430104-2-M",data_code, 2,FALSE),0)</f>
        <v>1</v>
      </c>
      <c r="G30" s="18">
        <f>IFERROR(VLOOKUP("5-430104-2-F",data_code, 2,FALSE),0)</f>
        <v>2</v>
      </c>
      <c r="H30" s="32">
        <f>IFERROR(VLOOKUP("5-430104-3-M",data_code, 2,FALSE),0)</f>
        <v>0</v>
      </c>
      <c r="I30" s="18">
        <f>IFERROR(VLOOKUP("5-430104-3-F",data_code, 2,FALSE),0)</f>
        <v>0</v>
      </c>
      <c r="J30" s="32">
        <f>IFERROR(VLOOKUP("5-430104-4-M",data_code, 2,FALSE),0)</f>
        <v>0</v>
      </c>
      <c r="K30" s="18">
        <f>IFERROR(VLOOKUP("5-430104-4-F",data_code, 2,FALSE),0)</f>
        <v>1</v>
      </c>
      <c r="L30" s="4">
        <f>IFERROR(VLOOKUP("5-430104-5-M",data_code, 2,FALSE),0)</f>
        <v>3</v>
      </c>
      <c r="M30" s="18">
        <f>IFERROR(VLOOKUP("5-430104-5-F",data_code, 2,FALSE),0)</f>
        <v>13</v>
      </c>
      <c r="N30" s="4">
        <f>IFERROR(VLOOKUP("5-430104-6-M",data_code, 2,FALSE),0)</f>
        <v>0</v>
      </c>
      <c r="O30" s="18">
        <f>IFERROR(VLOOKUP("5-430104-6-F",data_code, 2,FALSE),0)</f>
        <v>1</v>
      </c>
      <c r="P30" s="4">
        <f>IFERROR(VLOOKUP("5-430104-7-M",data_code, 2,FALSE),0)</f>
        <v>31</v>
      </c>
      <c r="Q30" s="18">
        <f>IFERROR(VLOOKUP("5-430104-7-F",data_code, 2,FALSE),0)</f>
        <v>26</v>
      </c>
      <c r="R30" s="4">
        <f>IFERROR(VLOOKUP("5-430104-8-M",data_code, 2,FALSE),0)</f>
        <v>1</v>
      </c>
      <c r="S30" s="18">
        <f>IFERROR(VLOOKUP("5-430104-8-F",data_code, 2,FALSE),0)</f>
        <v>1</v>
      </c>
      <c r="T30" s="4">
        <f>IFERROR(VLOOKUP("5-430104-9-M",data_code, 2,FALSE),0)</f>
        <v>2</v>
      </c>
      <c r="U30" s="4">
        <f>IFERROR(VLOOKUP("5-430104-9-F",data_code, 2,FALSE),0)</f>
        <v>3</v>
      </c>
      <c r="V30" s="32">
        <f t="shared" si="0"/>
        <v>38</v>
      </c>
      <c r="W30" s="18">
        <f t="shared" si="1"/>
        <v>47</v>
      </c>
      <c r="X30" s="28">
        <f t="shared" si="2"/>
        <v>85</v>
      </c>
    </row>
    <row r="31" spans="1:24">
      <c r="A31" s="83"/>
      <c r="B31" s="5">
        <v>44.070099999999996</v>
      </c>
      <c r="C31" s="6" t="s">
        <v>102</v>
      </c>
      <c r="D31" s="4">
        <f>IFERROR(VLOOKUP("5-440701-1-M",data_code, 2,FALSE),0)</f>
        <v>0</v>
      </c>
      <c r="E31" s="18">
        <f>IFERROR(VLOOKUP("5-440701-1-F",data_code, 2,FALSE),0)</f>
        <v>0</v>
      </c>
      <c r="F31" s="4">
        <f>IFERROR(VLOOKUP("5-440701-2-M",data_code, 2,FALSE),0)</f>
        <v>0</v>
      </c>
      <c r="G31" s="18">
        <f>IFERROR(VLOOKUP("5-440701-2-F",data_code, 2,FALSE),0)</f>
        <v>3</v>
      </c>
      <c r="H31" s="32">
        <f>IFERROR(VLOOKUP("5-440701-3-M",data_code, 2,FALSE),0)</f>
        <v>0</v>
      </c>
      <c r="I31" s="18">
        <f>IFERROR(VLOOKUP("5-440701-3-F",data_code, 2,FALSE),0)</f>
        <v>0</v>
      </c>
      <c r="J31" s="32">
        <f>IFERROR(VLOOKUP("5-440701-4-M",data_code, 2,FALSE),0)</f>
        <v>0</v>
      </c>
      <c r="K31" s="18">
        <f>IFERROR(VLOOKUP("5-440701-4-F",data_code, 2,FALSE),0)</f>
        <v>1</v>
      </c>
      <c r="L31" s="4">
        <f>IFERROR(VLOOKUP("5-440701-5-M",data_code, 2,FALSE),0)</f>
        <v>1</v>
      </c>
      <c r="M31" s="18">
        <f>IFERROR(VLOOKUP("5-440701-5-F",data_code, 2,FALSE),0)</f>
        <v>2</v>
      </c>
      <c r="N31" s="4">
        <f>IFERROR(VLOOKUP("5-440701-6-M",data_code, 2,FALSE),0)</f>
        <v>0</v>
      </c>
      <c r="O31" s="18">
        <f>IFERROR(VLOOKUP("5-440701-6-F",data_code, 2,FALSE),0)</f>
        <v>0</v>
      </c>
      <c r="P31" s="4">
        <f>IFERROR(VLOOKUP("5-440701-7-M",data_code, 2,FALSE),0)</f>
        <v>1</v>
      </c>
      <c r="Q31" s="18">
        <f>IFERROR(VLOOKUP("5-440701-7-F",data_code, 2,FALSE),0)</f>
        <v>13</v>
      </c>
      <c r="R31" s="4">
        <f>IFERROR(VLOOKUP("5-440701-8-M",data_code, 2,FALSE),0)</f>
        <v>0</v>
      </c>
      <c r="S31" s="18">
        <f>IFERROR(VLOOKUP("5-440701-8-F",data_code, 2,FALSE),0)</f>
        <v>1</v>
      </c>
      <c r="T31" s="4">
        <f>IFERROR(VLOOKUP("5-440701-9-M",data_code, 2,FALSE),0)</f>
        <v>0</v>
      </c>
      <c r="U31" s="4">
        <f>IFERROR(VLOOKUP("5-440701-9-F",data_code, 2,FALSE),0)</f>
        <v>0</v>
      </c>
      <c r="V31" s="32">
        <f t="shared" si="0"/>
        <v>2</v>
      </c>
      <c r="W31" s="18">
        <f t="shared" si="1"/>
        <v>20</v>
      </c>
      <c r="X31" s="28">
        <f t="shared" si="2"/>
        <v>22</v>
      </c>
    </row>
    <row r="32" spans="1:24">
      <c r="A32" s="83"/>
      <c r="B32" s="5">
        <v>45.020099999999999</v>
      </c>
      <c r="C32" s="6" t="s">
        <v>86</v>
      </c>
      <c r="D32" s="4">
        <f>IFERROR(VLOOKUP("5-450201-1-M",data_code, 2,FALSE),0)</f>
        <v>0</v>
      </c>
      <c r="E32" s="18">
        <f>IFERROR(VLOOKUP("5-450201-1-F",data_code, 2,FALSE),0)</f>
        <v>0</v>
      </c>
      <c r="F32" s="4">
        <f>IFERROR(VLOOKUP("5-450201-2-M",data_code, 2,FALSE),0)</f>
        <v>0</v>
      </c>
      <c r="G32" s="18">
        <f>IFERROR(VLOOKUP("5-450201-2-F",data_code, 2,FALSE),0)</f>
        <v>0</v>
      </c>
      <c r="H32" s="32">
        <f>IFERROR(VLOOKUP("5-450201-3-M",data_code, 2,FALSE),0)</f>
        <v>0</v>
      </c>
      <c r="I32" s="18">
        <f>IFERROR(VLOOKUP("5-450201-3-F",data_code, 2,FALSE),0)</f>
        <v>0</v>
      </c>
      <c r="J32" s="32">
        <f>IFERROR(VLOOKUP("5-450201-4-M",data_code, 2,FALSE),0)</f>
        <v>0</v>
      </c>
      <c r="K32" s="18">
        <f>IFERROR(VLOOKUP("5-450201-4-F",data_code, 2,FALSE),0)</f>
        <v>0</v>
      </c>
      <c r="L32" s="4">
        <f>IFERROR(VLOOKUP("5-450201-5-M",data_code, 2,FALSE),0)</f>
        <v>1</v>
      </c>
      <c r="M32" s="18">
        <f>IFERROR(VLOOKUP("5-450201-5-F",data_code, 2,FALSE),0)</f>
        <v>1</v>
      </c>
      <c r="N32" s="4">
        <f>IFERROR(VLOOKUP("5-450201-6-M",data_code, 2,FALSE),0)</f>
        <v>0</v>
      </c>
      <c r="O32" s="18">
        <f>IFERROR(VLOOKUP("5-450201-6-F",data_code, 2,FALSE),0)</f>
        <v>1</v>
      </c>
      <c r="P32" s="4">
        <f>IFERROR(VLOOKUP("5-450201-7-M",data_code, 2,FALSE),0)</f>
        <v>6</v>
      </c>
      <c r="Q32" s="18">
        <f>IFERROR(VLOOKUP("5-450201-7-F",data_code, 2,FALSE),0)</f>
        <v>6</v>
      </c>
      <c r="R32" s="4">
        <f>IFERROR(VLOOKUP("5-450201-8-M",data_code, 2,FALSE),0)</f>
        <v>0</v>
      </c>
      <c r="S32" s="18">
        <f>IFERROR(VLOOKUP("5-450201-8-F",data_code, 2,FALSE),0)</f>
        <v>0</v>
      </c>
      <c r="T32" s="4">
        <f>IFERROR(VLOOKUP("5-450201-9-M",data_code, 2,FALSE),0)</f>
        <v>0</v>
      </c>
      <c r="U32" s="4">
        <f>IFERROR(VLOOKUP("5-450201-9-F",data_code, 2,FALSE),0)</f>
        <v>0</v>
      </c>
      <c r="V32" s="32">
        <f t="shared" si="0"/>
        <v>7</v>
      </c>
      <c r="W32" s="18">
        <f t="shared" si="1"/>
        <v>8</v>
      </c>
      <c r="X32" s="28">
        <f t="shared" si="2"/>
        <v>15</v>
      </c>
    </row>
    <row r="33" spans="1:24">
      <c r="A33" s="83"/>
      <c r="B33" s="5">
        <v>45.060099999999998</v>
      </c>
      <c r="C33" s="6" t="s">
        <v>87</v>
      </c>
      <c r="D33" s="4">
        <f>IFERROR(VLOOKUP("5-450601-1-M",data_code, 2,FALSE),0)</f>
        <v>0</v>
      </c>
      <c r="E33" s="18">
        <f>IFERROR(VLOOKUP("5-450601-1-F",data_code, 2,FALSE),0)</f>
        <v>0</v>
      </c>
      <c r="F33" s="4">
        <f>IFERROR(VLOOKUP("5-450601-2-M",data_code, 2,FALSE),0)</f>
        <v>0</v>
      </c>
      <c r="G33" s="18">
        <f>IFERROR(VLOOKUP("5-450601-2-F",data_code, 2,FALSE),0)</f>
        <v>0</v>
      </c>
      <c r="H33" s="32">
        <f>IFERROR(VLOOKUP("5-450601-3-M",data_code, 2,FALSE),0)</f>
        <v>0</v>
      </c>
      <c r="I33" s="18">
        <f>IFERROR(VLOOKUP("5-450601-3-F",data_code, 2,FALSE),0)</f>
        <v>0</v>
      </c>
      <c r="J33" s="32">
        <f>IFERROR(VLOOKUP("5-450601-4-M",data_code, 2,FALSE),0)</f>
        <v>0</v>
      </c>
      <c r="K33" s="18">
        <f>IFERROR(VLOOKUP("5-450601-4-F",data_code, 2,FALSE),0)</f>
        <v>0</v>
      </c>
      <c r="L33" s="4">
        <f>IFERROR(VLOOKUP("5-450601-5-M",data_code, 2,FALSE),0)</f>
        <v>0</v>
      </c>
      <c r="M33" s="18">
        <f>IFERROR(VLOOKUP("5-450601-5-F",data_code, 2,FALSE),0)</f>
        <v>0</v>
      </c>
      <c r="N33" s="4">
        <f>IFERROR(VLOOKUP("5-450601-6-M",data_code, 2,FALSE),0)</f>
        <v>0</v>
      </c>
      <c r="O33" s="18">
        <f>IFERROR(VLOOKUP("5-450601-6-F",data_code, 2,FALSE),0)</f>
        <v>0</v>
      </c>
      <c r="P33" s="4">
        <f>IFERROR(VLOOKUP("5-450601-7-M",data_code, 2,FALSE),0)</f>
        <v>0</v>
      </c>
      <c r="Q33" s="18">
        <f>IFERROR(VLOOKUP("5-450601-7-F",data_code, 2,FALSE),0)</f>
        <v>1</v>
      </c>
      <c r="R33" s="4">
        <f>IFERROR(VLOOKUP("5-450601-8-M",data_code, 2,FALSE),0)</f>
        <v>0</v>
      </c>
      <c r="S33" s="18">
        <f>IFERROR(VLOOKUP("5-450601-8-F",data_code, 2,FALSE),0)</f>
        <v>0</v>
      </c>
      <c r="T33" s="4">
        <f>IFERROR(VLOOKUP("5-450601-9-M",data_code, 2,FALSE),0)</f>
        <v>0</v>
      </c>
      <c r="U33" s="4">
        <f>IFERROR(VLOOKUP("5-450601-9-F",data_code, 2,FALSE),0)</f>
        <v>0</v>
      </c>
      <c r="V33" s="32">
        <f t="shared" si="0"/>
        <v>0</v>
      </c>
      <c r="W33" s="18">
        <f t="shared" si="1"/>
        <v>1</v>
      </c>
      <c r="X33" s="28">
        <f t="shared" si="2"/>
        <v>1</v>
      </c>
    </row>
    <row r="34" spans="1:24">
      <c r="A34" s="83"/>
      <c r="B34" s="5">
        <v>45.100099999999998</v>
      </c>
      <c r="C34" s="6" t="s">
        <v>88</v>
      </c>
      <c r="D34" s="4">
        <f>IFERROR(VLOOKUP("5-451001-1-M",data_code, 2,FALSE),0)</f>
        <v>0</v>
      </c>
      <c r="E34" s="18">
        <f>IFERROR(VLOOKUP("5-451001-1-F",data_code, 2,FALSE),0)</f>
        <v>1</v>
      </c>
      <c r="F34" s="4">
        <f>IFERROR(VLOOKUP("5-451001-2-M",data_code, 2,FALSE),0)</f>
        <v>0</v>
      </c>
      <c r="G34" s="18">
        <f>IFERROR(VLOOKUP("5-451001-2-F",data_code, 2,FALSE),0)</f>
        <v>0</v>
      </c>
      <c r="H34" s="32">
        <f>IFERROR(VLOOKUP("5-451001-3-M",data_code, 2,FALSE),0)</f>
        <v>0</v>
      </c>
      <c r="I34" s="18">
        <f>IFERROR(VLOOKUP("5-451001-3-F",data_code, 2,FALSE),0)</f>
        <v>0</v>
      </c>
      <c r="J34" s="32">
        <f>IFERROR(VLOOKUP("5-451001-4-M",data_code, 2,FALSE),0)</f>
        <v>0</v>
      </c>
      <c r="K34" s="18">
        <f>IFERROR(VLOOKUP("5-451001-4-F",data_code, 2,FALSE),0)</f>
        <v>0</v>
      </c>
      <c r="L34" s="4">
        <f>IFERROR(VLOOKUP("5-451001-5-M",data_code, 2,FALSE),0)</f>
        <v>0</v>
      </c>
      <c r="M34" s="18">
        <f>IFERROR(VLOOKUP("5-451001-5-F",data_code, 2,FALSE),0)</f>
        <v>0</v>
      </c>
      <c r="N34" s="4">
        <f>IFERROR(VLOOKUP("5-451001-6-M",data_code, 2,FALSE),0)</f>
        <v>0</v>
      </c>
      <c r="O34" s="18">
        <f>IFERROR(VLOOKUP("5-451001-6-F",data_code, 2,FALSE),0)</f>
        <v>0</v>
      </c>
      <c r="P34" s="4">
        <f>IFERROR(VLOOKUP("5-451001-7-M",data_code, 2,FALSE),0)</f>
        <v>6</v>
      </c>
      <c r="Q34" s="18">
        <f>IFERROR(VLOOKUP("5-451001-7-F",data_code, 2,FALSE),0)</f>
        <v>4</v>
      </c>
      <c r="R34" s="4">
        <f>IFERROR(VLOOKUP("5-451001-8-M",data_code, 2,FALSE),0)</f>
        <v>0</v>
      </c>
      <c r="S34" s="18">
        <f>IFERROR(VLOOKUP("5-451001-8-F",data_code, 2,FALSE),0)</f>
        <v>1</v>
      </c>
      <c r="T34" s="4">
        <f>IFERROR(VLOOKUP("5-451001-9-M",data_code, 2,FALSE),0)</f>
        <v>1</v>
      </c>
      <c r="U34" s="4">
        <f>IFERROR(VLOOKUP("5-451001-9-F",data_code, 2,FALSE),0)</f>
        <v>1</v>
      </c>
      <c r="V34" s="32">
        <f t="shared" si="0"/>
        <v>7</v>
      </c>
      <c r="W34" s="18">
        <f t="shared" si="1"/>
        <v>7</v>
      </c>
      <c r="X34" s="28">
        <f t="shared" si="2"/>
        <v>14</v>
      </c>
    </row>
    <row r="35" spans="1:24">
      <c r="A35" s="83"/>
      <c r="B35" s="5">
        <v>45.110100000000003</v>
      </c>
      <c r="C35" s="6" t="s">
        <v>89</v>
      </c>
      <c r="D35" s="4">
        <f>IFERROR(VLOOKUP("5-451101-1-M",data_code, 2,FALSE),0)</f>
        <v>0</v>
      </c>
      <c r="E35" s="18">
        <f>IFERROR(VLOOKUP("5-451101-1-F",data_code, 2,FALSE),0)</f>
        <v>0</v>
      </c>
      <c r="F35" s="4">
        <f>IFERROR(VLOOKUP("5-451101-2-M",data_code, 2,FALSE),0)</f>
        <v>0</v>
      </c>
      <c r="G35" s="18">
        <f>IFERROR(VLOOKUP("5-451101-2-F",data_code, 2,FALSE),0)</f>
        <v>1</v>
      </c>
      <c r="H35" s="32">
        <f>IFERROR(VLOOKUP("5-451101-3-M",data_code, 2,FALSE),0)</f>
        <v>0</v>
      </c>
      <c r="I35" s="18">
        <f>IFERROR(VLOOKUP("5-451101-3-F",data_code, 2,FALSE),0)</f>
        <v>0</v>
      </c>
      <c r="J35" s="32">
        <f>IFERROR(VLOOKUP("5-451101-4-M",data_code, 2,FALSE),0)</f>
        <v>0</v>
      </c>
      <c r="K35" s="18">
        <f>IFERROR(VLOOKUP("5-451101-4-F",data_code, 2,FALSE),0)</f>
        <v>0</v>
      </c>
      <c r="L35" s="4">
        <f>IFERROR(VLOOKUP("5-451101-5-M",data_code, 2,FALSE),0)</f>
        <v>1</v>
      </c>
      <c r="M35" s="18">
        <f>IFERROR(VLOOKUP("5-451101-5-F",data_code, 2,FALSE),0)</f>
        <v>1</v>
      </c>
      <c r="N35" s="4">
        <f>IFERROR(VLOOKUP("5-451101-6-M",data_code, 2,FALSE),0)</f>
        <v>0</v>
      </c>
      <c r="O35" s="18">
        <f>IFERROR(VLOOKUP("5-451101-6-F",data_code, 2,FALSE),0)</f>
        <v>0</v>
      </c>
      <c r="P35" s="4">
        <f>IFERROR(VLOOKUP("5-451101-7-M",data_code, 2,FALSE),0)</f>
        <v>3</v>
      </c>
      <c r="Q35" s="18">
        <f>IFERROR(VLOOKUP("5-451101-7-F",data_code, 2,FALSE),0)</f>
        <v>9</v>
      </c>
      <c r="R35" s="4">
        <f>IFERROR(VLOOKUP("5-451101-8-M",data_code, 2,FALSE),0)</f>
        <v>1</v>
      </c>
      <c r="S35" s="18">
        <f>IFERROR(VLOOKUP("5-451101-8-F",data_code, 2,FALSE),0)</f>
        <v>0</v>
      </c>
      <c r="T35" s="4">
        <f>IFERROR(VLOOKUP("5-451101-9-M",data_code, 2,FALSE),0)</f>
        <v>0</v>
      </c>
      <c r="U35" s="4">
        <f>IFERROR(VLOOKUP("5-451101-9-F",data_code, 2,FALSE),0)</f>
        <v>1</v>
      </c>
      <c r="V35" s="32">
        <f t="shared" si="0"/>
        <v>5</v>
      </c>
      <c r="W35" s="18">
        <f t="shared" si="1"/>
        <v>12</v>
      </c>
      <c r="X35" s="28">
        <f t="shared" si="2"/>
        <v>17</v>
      </c>
    </row>
    <row r="36" spans="1:24">
      <c r="A36" s="83"/>
      <c r="B36" s="5" t="s">
        <v>364</v>
      </c>
      <c r="C36" s="6" t="s">
        <v>90</v>
      </c>
      <c r="D36" s="4">
        <f>IFERROR(VLOOKUP("5-500512-1-M",data_code, 2,FALSE),0)</f>
        <v>0</v>
      </c>
      <c r="E36" s="18">
        <f>IFERROR(VLOOKUP("5-500512-1-F",data_code, 2,FALSE),0)</f>
        <v>0</v>
      </c>
      <c r="F36" s="4">
        <f>IFERROR(VLOOKUP("5-500512-2-M",data_code, 2,FALSE),0)</f>
        <v>1</v>
      </c>
      <c r="G36" s="18">
        <f>IFERROR(VLOOKUP("5-500512-2-F",data_code, 2,FALSE),0)</f>
        <v>1</v>
      </c>
      <c r="H36" s="32">
        <f>IFERROR(VLOOKUP("5-500512-3-M",data_code, 2,FALSE),0)</f>
        <v>0</v>
      </c>
      <c r="I36" s="18">
        <f>IFERROR(VLOOKUP("5-500512-3-F",data_code, 2,FALSE),0)</f>
        <v>0</v>
      </c>
      <c r="J36" s="32">
        <f>IFERROR(VLOOKUP("5-500512-4-M",data_code, 2,FALSE),0)</f>
        <v>0</v>
      </c>
      <c r="K36" s="18">
        <f>IFERROR(VLOOKUP("5-500512-4-F",data_code, 2,FALSE),0)</f>
        <v>0</v>
      </c>
      <c r="L36" s="4">
        <f>IFERROR(VLOOKUP("5-500512-5-M",data_code, 2,FALSE),0)</f>
        <v>1</v>
      </c>
      <c r="M36" s="18">
        <f>IFERROR(VLOOKUP("5-500512-5-F",data_code, 2,FALSE),0)</f>
        <v>0</v>
      </c>
      <c r="N36" s="4">
        <f>IFERROR(VLOOKUP("5-500512-6-M",data_code, 2,FALSE),0)</f>
        <v>0</v>
      </c>
      <c r="O36" s="18">
        <f>IFERROR(VLOOKUP("5-500512-6-F",data_code, 2,FALSE),0)</f>
        <v>0</v>
      </c>
      <c r="P36" s="4">
        <f>IFERROR(VLOOKUP("5-500512-7-M",data_code, 2,FALSE),0)</f>
        <v>0</v>
      </c>
      <c r="Q36" s="18">
        <f>IFERROR(VLOOKUP("5-500512-7-F",data_code, 2,FALSE),0)</f>
        <v>8</v>
      </c>
      <c r="R36" s="4">
        <f>IFERROR(VLOOKUP("5-500512-8-M",data_code, 2,FALSE),0)</f>
        <v>0</v>
      </c>
      <c r="S36" s="18">
        <f>IFERROR(VLOOKUP("5-500512-8-F",data_code, 2,FALSE),0)</f>
        <v>1</v>
      </c>
      <c r="T36" s="4">
        <f>IFERROR(VLOOKUP("5-500512-9-M",data_code, 2,FALSE),0)</f>
        <v>0</v>
      </c>
      <c r="U36" s="4">
        <f>IFERROR(VLOOKUP("5-500512-9-F",data_code, 2,FALSE),0)</f>
        <v>0</v>
      </c>
      <c r="V36" s="32">
        <f t="shared" si="0"/>
        <v>2</v>
      </c>
      <c r="W36" s="18">
        <f t="shared" si="1"/>
        <v>10</v>
      </c>
      <c r="X36" s="28">
        <f t="shared" si="2"/>
        <v>12</v>
      </c>
    </row>
    <row r="37" spans="1:24">
      <c r="A37" s="83"/>
      <c r="B37" s="5">
        <v>50.070099999999996</v>
      </c>
      <c r="C37" s="6" t="s">
        <v>91</v>
      </c>
      <c r="D37" s="4">
        <f>IFERROR(VLOOKUP("5-500701-1-M",data_code, 2,FALSE),0)</f>
        <v>0</v>
      </c>
      <c r="E37" s="18">
        <f>IFERROR(VLOOKUP("5-500701-1-F",data_code, 2,FALSE),0)</f>
        <v>0</v>
      </c>
      <c r="F37" s="4">
        <f>IFERROR(VLOOKUP("5-500701-2-M",data_code, 2,FALSE),0)</f>
        <v>1</v>
      </c>
      <c r="G37" s="18">
        <f>IFERROR(VLOOKUP("5-500701-2-F",data_code, 2,FALSE),0)</f>
        <v>0</v>
      </c>
      <c r="H37" s="32">
        <f>IFERROR(VLOOKUP("5-500701-3-M",data_code, 2,FALSE),0)</f>
        <v>0</v>
      </c>
      <c r="I37" s="18">
        <f>IFERROR(VLOOKUP("5-500701-3-F",data_code, 2,FALSE),0)</f>
        <v>0</v>
      </c>
      <c r="J37" s="32">
        <f>IFERROR(VLOOKUP("5-500701-4-M",data_code, 2,FALSE),0)</f>
        <v>0</v>
      </c>
      <c r="K37" s="18">
        <f>IFERROR(VLOOKUP("5-500701-4-F",data_code, 2,FALSE),0)</f>
        <v>0</v>
      </c>
      <c r="L37" s="4">
        <f>IFERROR(VLOOKUP("5-500701-5-M",data_code, 2,FALSE),0)</f>
        <v>1</v>
      </c>
      <c r="M37" s="18">
        <f>IFERROR(VLOOKUP("5-500701-5-F",data_code, 2,FALSE),0)</f>
        <v>3</v>
      </c>
      <c r="N37" s="4">
        <f>IFERROR(VLOOKUP("5-500701-6-M",data_code, 2,FALSE),0)</f>
        <v>0</v>
      </c>
      <c r="O37" s="18">
        <f>IFERROR(VLOOKUP("5-500701-6-F",data_code, 2,FALSE),0)</f>
        <v>0</v>
      </c>
      <c r="P37" s="4">
        <f>IFERROR(VLOOKUP("5-500701-7-M",data_code, 2,FALSE),0)</f>
        <v>3</v>
      </c>
      <c r="Q37" s="18">
        <f>IFERROR(VLOOKUP("5-500701-7-F",data_code, 2,FALSE),0)</f>
        <v>21</v>
      </c>
      <c r="R37" s="4">
        <f>IFERROR(VLOOKUP("5-500701-8-M",data_code, 2,FALSE),0)</f>
        <v>0</v>
      </c>
      <c r="S37" s="18">
        <f>IFERROR(VLOOKUP("5-500701-8-F",data_code, 2,FALSE),0)</f>
        <v>1</v>
      </c>
      <c r="T37" s="4">
        <f>IFERROR(VLOOKUP("5-500701-9-M",data_code, 2,FALSE),0)</f>
        <v>0</v>
      </c>
      <c r="U37" s="4">
        <f>IFERROR(VLOOKUP("5-500701-9-F",data_code, 2,FALSE),0)</f>
        <v>0</v>
      </c>
      <c r="V37" s="32">
        <f t="shared" si="0"/>
        <v>5</v>
      </c>
      <c r="W37" s="18">
        <f t="shared" si="1"/>
        <v>25</v>
      </c>
      <c r="X37" s="28">
        <f t="shared" si="2"/>
        <v>30</v>
      </c>
    </row>
    <row r="38" spans="1:24">
      <c r="A38" s="83"/>
      <c r="B38" s="5">
        <v>50.0702</v>
      </c>
      <c r="C38" s="6" t="s">
        <v>92</v>
      </c>
      <c r="D38" s="4">
        <f>IFERROR(VLOOKUP("5-500702-1-M",data_code, 2,FALSE),0)</f>
        <v>0</v>
      </c>
      <c r="E38" s="18">
        <f>IFERROR(VLOOKUP("5-500702-1-F",data_code, 2,FALSE),0)</f>
        <v>0</v>
      </c>
      <c r="F38" s="4">
        <f>IFERROR(VLOOKUP("5-500702-2-M",data_code, 2,FALSE),0)</f>
        <v>0</v>
      </c>
      <c r="G38" s="18">
        <f>IFERROR(VLOOKUP("5-500702-2-F",data_code, 2,FALSE),0)</f>
        <v>0</v>
      </c>
      <c r="H38" s="32">
        <f>IFERROR(VLOOKUP("5-500702-3-M",data_code, 2,FALSE),0)</f>
        <v>0</v>
      </c>
      <c r="I38" s="18">
        <f>IFERROR(VLOOKUP("5-500702-3-F",data_code, 2,FALSE),0)</f>
        <v>0</v>
      </c>
      <c r="J38" s="32">
        <f>IFERROR(VLOOKUP("5-500702-4-M",data_code, 2,FALSE),0)</f>
        <v>0</v>
      </c>
      <c r="K38" s="18">
        <f>IFERROR(VLOOKUP("5-500702-4-F",data_code, 2,FALSE),0)</f>
        <v>0</v>
      </c>
      <c r="L38" s="4">
        <f>IFERROR(VLOOKUP("5-500702-5-M",data_code, 2,FALSE),0)</f>
        <v>1</v>
      </c>
      <c r="M38" s="18">
        <f>IFERROR(VLOOKUP("5-500702-5-F",data_code, 2,FALSE),0)</f>
        <v>1</v>
      </c>
      <c r="N38" s="4">
        <f>IFERROR(VLOOKUP("5-500702-6-M",data_code, 2,FALSE),0)</f>
        <v>0</v>
      </c>
      <c r="O38" s="18">
        <f>IFERROR(VLOOKUP("5-500702-6-F",data_code, 2,FALSE),0)</f>
        <v>0</v>
      </c>
      <c r="P38" s="4">
        <f>IFERROR(VLOOKUP("5-500702-7-M",data_code, 2,FALSE),0)</f>
        <v>2</v>
      </c>
      <c r="Q38" s="18">
        <f>IFERROR(VLOOKUP("5-500702-7-F",data_code, 2,FALSE),0)</f>
        <v>14</v>
      </c>
      <c r="R38" s="4">
        <f>IFERROR(VLOOKUP("5-500702-8-M",data_code, 2,FALSE),0)</f>
        <v>0</v>
      </c>
      <c r="S38" s="18">
        <f>IFERROR(VLOOKUP("5-500702-8-F",data_code, 2,FALSE),0)</f>
        <v>0</v>
      </c>
      <c r="T38" s="4">
        <f>IFERROR(VLOOKUP("5-500702-9-M",data_code, 2,FALSE),0)</f>
        <v>0</v>
      </c>
      <c r="U38" s="4">
        <f>IFERROR(VLOOKUP("5-500702-9-F",data_code, 2,FALSE),0)</f>
        <v>0</v>
      </c>
      <c r="V38" s="32">
        <f t="shared" si="0"/>
        <v>3</v>
      </c>
      <c r="W38" s="18">
        <f t="shared" si="1"/>
        <v>15</v>
      </c>
      <c r="X38" s="28">
        <f t="shared" si="2"/>
        <v>18</v>
      </c>
    </row>
    <row r="39" spans="1:24">
      <c r="A39" s="83"/>
      <c r="B39" s="5">
        <v>50.0901</v>
      </c>
      <c r="C39" s="6" t="s">
        <v>93</v>
      </c>
      <c r="D39" s="4">
        <f>IFERROR(VLOOKUP("5-500901-1-M",data_code, 2,FALSE),0)</f>
        <v>0</v>
      </c>
      <c r="E39" s="18">
        <f>IFERROR(VLOOKUP("5-500901-1-F",data_code, 2,FALSE),0)</f>
        <v>0</v>
      </c>
      <c r="F39" s="4">
        <f>IFERROR(VLOOKUP("5-500901-2-M",data_code, 2,FALSE),0)</f>
        <v>2</v>
      </c>
      <c r="G39" s="18">
        <f>IFERROR(VLOOKUP("5-500901-2-F",data_code, 2,FALSE),0)</f>
        <v>1</v>
      </c>
      <c r="H39" s="32">
        <f>IFERROR(VLOOKUP("5-500901-3-M",data_code, 2,FALSE),0)</f>
        <v>0</v>
      </c>
      <c r="I39" s="18">
        <f>IFERROR(VLOOKUP("5-500901-3-F",data_code, 2,FALSE),0)</f>
        <v>0</v>
      </c>
      <c r="J39" s="32">
        <f>IFERROR(VLOOKUP("5-500901-4-M",data_code, 2,FALSE),0)</f>
        <v>0</v>
      </c>
      <c r="K39" s="18">
        <f>IFERROR(VLOOKUP("5-500901-4-F",data_code, 2,FALSE),0)</f>
        <v>0</v>
      </c>
      <c r="L39" s="4">
        <f>IFERROR(VLOOKUP("5-500901-5-M",data_code, 2,FALSE),0)</f>
        <v>0</v>
      </c>
      <c r="M39" s="18">
        <f>IFERROR(VLOOKUP("5-500901-5-F",data_code, 2,FALSE),0)</f>
        <v>0</v>
      </c>
      <c r="N39" s="4">
        <f>IFERROR(VLOOKUP("5-500901-6-M",data_code, 2,FALSE),0)</f>
        <v>0</v>
      </c>
      <c r="O39" s="18">
        <f>IFERROR(VLOOKUP("5-500901-6-F",data_code, 2,FALSE),0)</f>
        <v>0</v>
      </c>
      <c r="P39" s="4">
        <f>IFERROR(VLOOKUP("5-500901-7-M",data_code, 2,FALSE),0)</f>
        <v>4</v>
      </c>
      <c r="Q39" s="18">
        <f>IFERROR(VLOOKUP("5-500901-7-F",data_code, 2,FALSE),0)</f>
        <v>4</v>
      </c>
      <c r="R39" s="4">
        <f>IFERROR(VLOOKUP("5-500901-8-M",data_code, 2,FALSE),0)</f>
        <v>1</v>
      </c>
      <c r="S39" s="18">
        <f>IFERROR(VLOOKUP("5-500901-8-F",data_code, 2,FALSE),0)</f>
        <v>1</v>
      </c>
      <c r="T39" s="4">
        <f>IFERROR(VLOOKUP("5-500901-9-M",data_code, 2,FALSE),0)</f>
        <v>1</v>
      </c>
      <c r="U39" s="4">
        <f>IFERROR(VLOOKUP("5-500901-9-F",data_code, 2,FALSE),0)</f>
        <v>0</v>
      </c>
      <c r="V39" s="32">
        <f t="shared" si="0"/>
        <v>8</v>
      </c>
      <c r="W39" s="18">
        <f t="shared" si="1"/>
        <v>6</v>
      </c>
      <c r="X39" s="28">
        <f t="shared" si="2"/>
        <v>14</v>
      </c>
    </row>
    <row r="40" spans="1:24">
      <c r="A40" s="83"/>
      <c r="B40" s="5">
        <v>51.020400000000002</v>
      </c>
      <c r="C40" s="6" t="s">
        <v>94</v>
      </c>
      <c r="D40" s="4">
        <f>IFERROR(VLOOKUP("5-510204-1-M",data_code, 2,FALSE),0)</f>
        <v>0</v>
      </c>
      <c r="E40" s="18">
        <f>IFERROR(VLOOKUP("5-510204-1-F",data_code, 2,FALSE),0)</f>
        <v>0</v>
      </c>
      <c r="F40" s="4">
        <f>IFERROR(VLOOKUP("5-510204-2-M",data_code, 2,FALSE),0)</f>
        <v>1</v>
      </c>
      <c r="G40" s="18">
        <f>IFERROR(VLOOKUP("5-510204-2-F",data_code, 2,FALSE),0)</f>
        <v>1</v>
      </c>
      <c r="H40" s="32">
        <f>IFERROR(VLOOKUP("5-510204-3-M",data_code, 2,FALSE),0)</f>
        <v>0</v>
      </c>
      <c r="I40" s="18">
        <f>IFERROR(VLOOKUP("5-510204-3-F",data_code, 2,FALSE),0)</f>
        <v>0</v>
      </c>
      <c r="J40" s="32">
        <f>IFERROR(VLOOKUP("5-510204-4-M",data_code, 2,FALSE),0)</f>
        <v>0</v>
      </c>
      <c r="K40" s="18">
        <f>IFERROR(VLOOKUP("5-510204-4-F",data_code, 2,FALSE),0)</f>
        <v>0</v>
      </c>
      <c r="L40" s="4">
        <f>IFERROR(VLOOKUP("5-510204-5-M",data_code, 2,FALSE),0)</f>
        <v>0</v>
      </c>
      <c r="M40" s="18">
        <f>IFERROR(VLOOKUP("5-510204-5-F",data_code, 2,FALSE),0)</f>
        <v>3</v>
      </c>
      <c r="N40" s="4">
        <f>IFERROR(VLOOKUP("5-510204-6-M",data_code, 2,FALSE),0)</f>
        <v>0</v>
      </c>
      <c r="O40" s="18">
        <f>IFERROR(VLOOKUP("5-510204-6-F",data_code, 2,FALSE),0)</f>
        <v>0</v>
      </c>
      <c r="P40" s="4">
        <f>IFERROR(VLOOKUP("5-510204-7-M",data_code, 2,FALSE),0)</f>
        <v>1</v>
      </c>
      <c r="Q40" s="18">
        <f>IFERROR(VLOOKUP("5-510204-7-F",data_code, 2,FALSE),0)</f>
        <v>29</v>
      </c>
      <c r="R40" s="4">
        <f>IFERROR(VLOOKUP("5-510204-8-M",data_code, 2,FALSE),0)</f>
        <v>0</v>
      </c>
      <c r="S40" s="18">
        <f>IFERROR(VLOOKUP("5-510204-8-F",data_code, 2,FALSE),0)</f>
        <v>0</v>
      </c>
      <c r="T40" s="4">
        <f>IFERROR(VLOOKUP("5-510204-9-M",data_code, 2,FALSE),0)</f>
        <v>0</v>
      </c>
      <c r="U40" s="4">
        <f>IFERROR(VLOOKUP("5-510204-9-F",data_code, 2,FALSE),0)</f>
        <v>1</v>
      </c>
      <c r="V40" s="32">
        <f t="shared" si="0"/>
        <v>2</v>
      </c>
      <c r="W40" s="18">
        <f t="shared" si="1"/>
        <v>34</v>
      </c>
      <c r="X40" s="28">
        <f t="shared" si="2"/>
        <v>36</v>
      </c>
    </row>
    <row r="41" spans="1:24">
      <c r="A41" s="83"/>
      <c r="B41" s="5">
        <v>51.220700000000001</v>
      </c>
      <c r="C41" s="6" t="s">
        <v>95</v>
      </c>
      <c r="D41" s="4">
        <f>IFERROR(VLOOKUP("5-512207-1-M",data_code, 2,FALSE),0)</f>
        <v>0</v>
      </c>
      <c r="E41" s="18">
        <f>IFERROR(VLOOKUP("5-512207-1-F",data_code, 2,FALSE),0)</f>
        <v>0</v>
      </c>
      <c r="F41" s="4">
        <f>IFERROR(VLOOKUP("5-512207-2-M",data_code, 2,FALSE),0)</f>
        <v>1</v>
      </c>
      <c r="G41" s="18">
        <f>IFERROR(VLOOKUP("5-512207-2-F",data_code, 2,FALSE),0)</f>
        <v>0</v>
      </c>
      <c r="H41" s="32">
        <f>IFERROR(VLOOKUP("5-512207-3-M",data_code, 2,FALSE),0)</f>
        <v>0</v>
      </c>
      <c r="I41" s="18">
        <f>IFERROR(VLOOKUP("5-512207-3-F",data_code, 2,FALSE),0)</f>
        <v>0</v>
      </c>
      <c r="J41" s="32">
        <f>IFERROR(VLOOKUP("5-512207-4-M",data_code, 2,FALSE),0)</f>
        <v>0</v>
      </c>
      <c r="K41" s="18">
        <f>IFERROR(VLOOKUP("5-512207-4-F",data_code, 2,FALSE),0)</f>
        <v>1</v>
      </c>
      <c r="L41" s="4">
        <f>IFERROR(VLOOKUP("5-512207-5-M",data_code, 2,FALSE),0)</f>
        <v>0</v>
      </c>
      <c r="M41" s="18">
        <f>IFERROR(VLOOKUP("5-512207-5-F",data_code, 2,FALSE),0)</f>
        <v>7</v>
      </c>
      <c r="N41" s="4">
        <f>IFERROR(VLOOKUP("5-512207-6-M",data_code, 2,FALSE),0)</f>
        <v>0</v>
      </c>
      <c r="O41" s="18">
        <f>IFERROR(VLOOKUP("5-512207-6-F",data_code, 2,FALSE),0)</f>
        <v>0</v>
      </c>
      <c r="P41" s="4">
        <f>IFERROR(VLOOKUP("5-512207-7-M",data_code, 2,FALSE),0)</f>
        <v>2</v>
      </c>
      <c r="Q41" s="18">
        <f>IFERROR(VLOOKUP("5-512207-7-F",data_code, 2,FALSE),0)</f>
        <v>8</v>
      </c>
      <c r="R41" s="4">
        <f>IFERROR(VLOOKUP("5-512207-8-M",data_code, 2,FALSE),0)</f>
        <v>1</v>
      </c>
      <c r="S41" s="18">
        <f>IFERROR(VLOOKUP("5-512207-8-F",data_code, 2,FALSE),0)</f>
        <v>2</v>
      </c>
      <c r="T41" s="4">
        <f>IFERROR(VLOOKUP("5-512207-9-M",data_code, 2,FALSE),0)</f>
        <v>0</v>
      </c>
      <c r="U41" s="4">
        <f>IFERROR(VLOOKUP("5-512207-9-F",data_code, 2,FALSE),0)</f>
        <v>0</v>
      </c>
      <c r="V41" s="32">
        <f t="shared" si="0"/>
        <v>4</v>
      </c>
      <c r="W41" s="18">
        <f t="shared" si="1"/>
        <v>18</v>
      </c>
      <c r="X41" s="28">
        <f t="shared" si="2"/>
        <v>22</v>
      </c>
    </row>
    <row r="42" spans="1:24">
      <c r="A42" s="83"/>
      <c r="B42" s="5">
        <v>51.310200000000002</v>
      </c>
      <c r="C42" s="6" t="s">
        <v>96</v>
      </c>
      <c r="D42" s="4">
        <f>IFERROR(VLOOKUP("5-513102-1-M",data_code, 2,FALSE),0)</f>
        <v>0</v>
      </c>
      <c r="E42" s="18">
        <f>IFERROR(VLOOKUP("5-513102-1-F",data_code, 2,FALSE),0)</f>
        <v>0</v>
      </c>
      <c r="F42" s="4">
        <f>IFERROR(VLOOKUP("5-513102-2-M",data_code, 2,FALSE),0)</f>
        <v>0</v>
      </c>
      <c r="G42" s="18">
        <f>IFERROR(VLOOKUP("5-513102-2-F",data_code, 2,FALSE),0)</f>
        <v>1</v>
      </c>
      <c r="H42" s="32">
        <f>IFERROR(VLOOKUP("5-513102-3-M",data_code, 2,FALSE),0)</f>
        <v>0</v>
      </c>
      <c r="I42" s="18">
        <f>IFERROR(VLOOKUP("5-513102-3-F",data_code, 2,FALSE),0)</f>
        <v>0</v>
      </c>
      <c r="J42" s="32">
        <f>IFERROR(VLOOKUP("5-513102-4-M",data_code, 2,FALSE),0)</f>
        <v>0</v>
      </c>
      <c r="K42" s="18">
        <f>IFERROR(VLOOKUP("5-513102-4-F",data_code, 2,FALSE),0)</f>
        <v>0</v>
      </c>
      <c r="L42" s="4">
        <f>IFERROR(VLOOKUP("5-513102-5-M",data_code, 2,FALSE),0)</f>
        <v>0</v>
      </c>
      <c r="M42" s="18">
        <f>IFERROR(VLOOKUP("5-513102-5-F",data_code, 2,FALSE),0)</f>
        <v>0</v>
      </c>
      <c r="N42" s="4">
        <f>IFERROR(VLOOKUP("5-513102-6-M",data_code, 2,FALSE),0)</f>
        <v>0</v>
      </c>
      <c r="O42" s="18">
        <f>IFERROR(VLOOKUP("5-513102-6-F",data_code, 2,FALSE),0)</f>
        <v>0</v>
      </c>
      <c r="P42" s="4">
        <f>IFERROR(VLOOKUP("5-513102-7-M",data_code, 2,FALSE),0)</f>
        <v>1</v>
      </c>
      <c r="Q42" s="18">
        <f>IFERROR(VLOOKUP("5-513102-7-F",data_code, 2,FALSE),0)</f>
        <v>10</v>
      </c>
      <c r="R42" s="4">
        <f>IFERROR(VLOOKUP("5-513102-8-M",data_code, 2,FALSE),0)</f>
        <v>0</v>
      </c>
      <c r="S42" s="18">
        <f>IFERROR(VLOOKUP("5-513102-8-F",data_code, 2,FALSE),0)</f>
        <v>0</v>
      </c>
      <c r="T42" s="4">
        <f>IFERROR(VLOOKUP("5-513102-9-M",data_code, 2,FALSE),0)</f>
        <v>0</v>
      </c>
      <c r="U42" s="4">
        <f>IFERROR(VLOOKUP("5-513102-9-F",data_code, 2,FALSE),0)</f>
        <v>0</v>
      </c>
      <c r="V42" s="32">
        <f t="shared" si="0"/>
        <v>1</v>
      </c>
      <c r="W42" s="18">
        <f t="shared" si="1"/>
        <v>11</v>
      </c>
      <c r="X42" s="28">
        <f t="shared" si="2"/>
        <v>12</v>
      </c>
    </row>
    <row r="43" spans="1:24">
      <c r="A43" s="83"/>
      <c r="B43" s="7" t="s">
        <v>28</v>
      </c>
      <c r="C43" s="6" t="s">
        <v>97</v>
      </c>
      <c r="D43" s="4">
        <f>IFERROR(VLOOKUP("5-513801-1-M",data_code, 2,FALSE),0)</f>
        <v>0</v>
      </c>
      <c r="E43" s="18">
        <f>IFERROR(VLOOKUP("5-513801-1-F",data_code, 2,FALSE),0)</f>
        <v>2</v>
      </c>
      <c r="F43" s="4">
        <f>IFERROR(VLOOKUP("5-513801-2-M",data_code, 2,FALSE),0)</f>
        <v>2</v>
      </c>
      <c r="G43" s="18">
        <f>IFERROR(VLOOKUP("5-513801-2-F",data_code, 2,FALSE),0)</f>
        <v>16</v>
      </c>
      <c r="H43" s="32">
        <f>IFERROR(VLOOKUP("5-513801-3-M",data_code, 2,FALSE),0)</f>
        <v>0</v>
      </c>
      <c r="I43" s="18">
        <f>IFERROR(VLOOKUP("5-513801-3-F",data_code, 2,FALSE),0)</f>
        <v>2</v>
      </c>
      <c r="J43" s="32">
        <f>IFERROR(VLOOKUP("5-513801-4-M",data_code, 2,FALSE),0)</f>
        <v>3</v>
      </c>
      <c r="K43" s="18">
        <f>IFERROR(VLOOKUP("5-513801-4-F",data_code, 2,FALSE),0)</f>
        <v>6</v>
      </c>
      <c r="L43" s="4">
        <f>IFERROR(VLOOKUP("5-513801-5-M",data_code, 2,FALSE),0)</f>
        <v>2</v>
      </c>
      <c r="M43" s="18">
        <f>IFERROR(VLOOKUP("5-513801-5-F",data_code, 2,FALSE),0)</f>
        <v>30</v>
      </c>
      <c r="N43" s="4">
        <f>IFERROR(VLOOKUP("5-513801-6-M",data_code, 2,FALSE),0)</f>
        <v>0</v>
      </c>
      <c r="O43" s="18">
        <f>IFERROR(VLOOKUP("5-513801-6-F",data_code, 2,FALSE),0)</f>
        <v>0</v>
      </c>
      <c r="P43" s="4">
        <f>IFERROR(VLOOKUP("5-513801-7-M",data_code, 2,FALSE),0)</f>
        <v>34</v>
      </c>
      <c r="Q43" s="18">
        <f>IFERROR(VLOOKUP("5-513801-7-F",data_code, 2,FALSE),0)</f>
        <v>229</v>
      </c>
      <c r="R43" s="4">
        <f>IFERROR(VLOOKUP("5-513801-8-M",data_code, 2,FALSE),0)</f>
        <v>1</v>
      </c>
      <c r="S43" s="18">
        <f>IFERROR(VLOOKUP("5-513801-8-F",data_code, 2,FALSE),0)</f>
        <v>8</v>
      </c>
      <c r="T43" s="4">
        <f>IFERROR(VLOOKUP("5-513801-9-M",data_code, 2,FALSE),0)</f>
        <v>1</v>
      </c>
      <c r="U43" s="4">
        <f>IFERROR(VLOOKUP("5-513801-9-F",data_code, 2,FALSE),0)</f>
        <v>3</v>
      </c>
      <c r="V43" s="32">
        <f t="shared" si="0"/>
        <v>43</v>
      </c>
      <c r="W43" s="18">
        <f t="shared" si="1"/>
        <v>296</v>
      </c>
      <c r="X43" s="28">
        <f t="shared" si="2"/>
        <v>339</v>
      </c>
    </row>
    <row r="44" spans="1:24">
      <c r="A44" s="83"/>
      <c r="B44" s="5">
        <v>52.020099999999999</v>
      </c>
      <c r="C44" s="6" t="s">
        <v>98</v>
      </c>
      <c r="D44" s="4">
        <f>IFERROR(VLOOKUP("5-520201-1-M",data_code, 2,FALSE),0)</f>
        <v>4</v>
      </c>
      <c r="E44" s="18">
        <f>IFERROR(VLOOKUP("5-520201-1-F",data_code, 2,FALSE),0)</f>
        <v>2</v>
      </c>
      <c r="F44" s="4">
        <f>IFERROR(VLOOKUP("5-520201-2-M",data_code, 2,FALSE),0)</f>
        <v>9</v>
      </c>
      <c r="G44" s="18">
        <f>IFERROR(VLOOKUP("5-520201-2-F",data_code, 2,FALSE),0)</f>
        <v>7</v>
      </c>
      <c r="H44" s="32">
        <f>IFERROR(VLOOKUP("5-520201-3-M",data_code, 2,FALSE),0)</f>
        <v>1</v>
      </c>
      <c r="I44" s="18">
        <f>IFERROR(VLOOKUP("5-520201-3-F",data_code, 2,FALSE),0)</f>
        <v>0</v>
      </c>
      <c r="J44" s="32">
        <f>IFERROR(VLOOKUP("5-520201-4-M",data_code, 2,FALSE),0)</f>
        <v>4</v>
      </c>
      <c r="K44" s="18">
        <f>IFERROR(VLOOKUP("5-520201-4-F",data_code, 2,FALSE),0)</f>
        <v>7</v>
      </c>
      <c r="L44" s="4">
        <f>IFERROR(VLOOKUP("5-520201-5-M",data_code, 2,FALSE),0)</f>
        <v>15</v>
      </c>
      <c r="M44" s="18">
        <f>IFERROR(VLOOKUP("5-520201-5-F",data_code, 2,FALSE),0)</f>
        <v>12</v>
      </c>
      <c r="N44" s="4">
        <f>IFERROR(VLOOKUP("5-520201-6-M",data_code, 2,FALSE),0)</f>
        <v>1</v>
      </c>
      <c r="O44" s="18">
        <f>IFERROR(VLOOKUP("5-520201-6-F",data_code, 2,FALSE),0)</f>
        <v>1</v>
      </c>
      <c r="P44" s="4">
        <f>IFERROR(VLOOKUP("5-520201-7-M",data_code, 2,FALSE),0)</f>
        <v>161</v>
      </c>
      <c r="Q44" s="18">
        <f>IFERROR(VLOOKUP("5-520201-7-F",data_code, 2,FALSE),0)</f>
        <v>83</v>
      </c>
      <c r="R44" s="4">
        <f>IFERROR(VLOOKUP("5-520201-8-M",data_code, 2,FALSE),0)</f>
        <v>6</v>
      </c>
      <c r="S44" s="18">
        <f>IFERROR(VLOOKUP("5-520201-8-F",data_code, 2,FALSE),0)</f>
        <v>4</v>
      </c>
      <c r="T44" s="4">
        <f>IFERROR(VLOOKUP("5-520201-9-M",data_code, 2,FALSE),0)</f>
        <v>5</v>
      </c>
      <c r="U44" s="4">
        <f>IFERROR(VLOOKUP("5-520201-9-F",data_code, 2,FALSE),0)</f>
        <v>6</v>
      </c>
      <c r="V44" s="32">
        <f t="shared" si="0"/>
        <v>206</v>
      </c>
      <c r="W44" s="18">
        <f t="shared" si="1"/>
        <v>122</v>
      </c>
      <c r="X44" s="28">
        <f t="shared" si="2"/>
        <v>328</v>
      </c>
    </row>
    <row r="45" spans="1:24">
      <c r="A45" s="83"/>
      <c r="B45" s="5">
        <v>52.030099999999997</v>
      </c>
      <c r="C45" s="6" t="s">
        <v>99</v>
      </c>
      <c r="D45" s="4">
        <f>IFERROR(VLOOKUP("5-520301-1-M",data_code, 2,FALSE),0)</f>
        <v>1</v>
      </c>
      <c r="E45" s="18">
        <f>IFERROR(VLOOKUP("5-520301-1-F",data_code, 2,FALSE),0)</f>
        <v>0</v>
      </c>
      <c r="F45" s="4">
        <f>IFERROR(VLOOKUP("5-520301-2-M",data_code, 2,FALSE),0)</f>
        <v>1</v>
      </c>
      <c r="G45" s="18">
        <f>IFERROR(VLOOKUP("5-520301-2-F",data_code, 2,FALSE),0)</f>
        <v>4</v>
      </c>
      <c r="H45" s="32">
        <f>IFERROR(VLOOKUP("5-520301-3-M",data_code, 2,FALSE),0)</f>
        <v>0</v>
      </c>
      <c r="I45" s="18">
        <f>IFERROR(VLOOKUP("5-520301-3-F",data_code, 2,FALSE),0)</f>
        <v>0</v>
      </c>
      <c r="J45" s="32">
        <f>IFERROR(VLOOKUP("5-520301-4-M",data_code, 2,FALSE),0)</f>
        <v>2</v>
      </c>
      <c r="K45" s="18">
        <f>IFERROR(VLOOKUP("5-520301-4-F",data_code, 2,FALSE),0)</f>
        <v>1</v>
      </c>
      <c r="L45" s="4">
        <f>IFERROR(VLOOKUP("5-520301-5-M",data_code, 2,FALSE),0)</f>
        <v>4</v>
      </c>
      <c r="M45" s="18">
        <f>IFERROR(VLOOKUP("5-520301-5-F",data_code, 2,FALSE),0)</f>
        <v>4</v>
      </c>
      <c r="N45" s="4">
        <f>IFERROR(VLOOKUP("5-520301-6-M",data_code, 2,FALSE),0)</f>
        <v>0</v>
      </c>
      <c r="O45" s="18">
        <f>IFERROR(VLOOKUP("5-520301-6-F",data_code, 2,FALSE),0)</f>
        <v>0</v>
      </c>
      <c r="P45" s="4">
        <f>IFERROR(VLOOKUP("5-520301-7-M",data_code, 2,FALSE),0)</f>
        <v>25</v>
      </c>
      <c r="Q45" s="18">
        <f>IFERROR(VLOOKUP("5-520301-7-F",data_code, 2,FALSE),0)</f>
        <v>24</v>
      </c>
      <c r="R45" s="4">
        <f>IFERROR(VLOOKUP("5-520301-8-M",data_code, 2,FALSE),0)</f>
        <v>0</v>
      </c>
      <c r="S45" s="18">
        <f>IFERROR(VLOOKUP("5-520301-8-F",data_code, 2,FALSE),0)</f>
        <v>1</v>
      </c>
      <c r="T45" s="4">
        <f>IFERROR(VLOOKUP("5-520301-9-M",data_code, 2,FALSE),0)</f>
        <v>0</v>
      </c>
      <c r="U45" s="4">
        <f>IFERROR(VLOOKUP("5-520301-9-F",data_code, 2,FALSE),0)</f>
        <v>1</v>
      </c>
      <c r="V45" s="32">
        <f t="shared" si="0"/>
        <v>33</v>
      </c>
      <c r="W45" s="18">
        <f t="shared" si="1"/>
        <v>35</v>
      </c>
      <c r="X45" s="28">
        <f t="shared" si="2"/>
        <v>68</v>
      </c>
    </row>
    <row r="46" spans="1:24">
      <c r="A46" s="83"/>
      <c r="B46" s="5">
        <v>52.200099999999999</v>
      </c>
      <c r="C46" s="6" t="s">
        <v>101</v>
      </c>
      <c r="D46" s="4">
        <f>IFERROR(VLOOKUP("5-522001-1-M",data_code, 2,FALSE),0)</f>
        <v>0</v>
      </c>
      <c r="E46" s="18">
        <f>IFERROR(VLOOKUP("5-522001-1-F",data_code, 2,FALSE),0)</f>
        <v>0</v>
      </c>
      <c r="F46" s="4">
        <f>IFERROR(VLOOKUP("5-522001-2-M",data_code, 2,FALSE),0)</f>
        <v>0</v>
      </c>
      <c r="G46" s="18">
        <f>IFERROR(VLOOKUP("5-522001-2-F",data_code, 2,FALSE),0)</f>
        <v>0</v>
      </c>
      <c r="H46" s="32">
        <f>IFERROR(VLOOKUP("5-522001-3-M",data_code, 2,FALSE),0)</f>
        <v>0</v>
      </c>
      <c r="I46" s="18">
        <f>IFERROR(VLOOKUP("5-522001-3-F",data_code, 2,FALSE),0)</f>
        <v>0</v>
      </c>
      <c r="J46" s="32">
        <f>IFERROR(VLOOKUP("5-522001-4-M",data_code, 2,FALSE),0)</f>
        <v>0</v>
      </c>
      <c r="K46" s="18">
        <f>IFERROR(VLOOKUP("5-522001-4-F",data_code, 2,FALSE),0)</f>
        <v>0</v>
      </c>
      <c r="L46" s="4">
        <f>IFERROR(VLOOKUP("5-522001-5-M",data_code, 2,FALSE),0)</f>
        <v>0</v>
      </c>
      <c r="M46" s="18">
        <f>IFERROR(VLOOKUP("5-522001-5-F",data_code, 2,FALSE),0)</f>
        <v>1</v>
      </c>
      <c r="N46" s="4">
        <f>IFERROR(VLOOKUP("5-522001-6-M",data_code, 2,FALSE),0)</f>
        <v>0</v>
      </c>
      <c r="O46" s="18">
        <f>IFERROR(VLOOKUP("5-522001-6-F",data_code, 2,FALSE),0)</f>
        <v>0</v>
      </c>
      <c r="P46" s="4">
        <f>IFERROR(VLOOKUP("5-522001-7-M",data_code, 2,FALSE),0)</f>
        <v>18</v>
      </c>
      <c r="Q46" s="18">
        <f>IFERROR(VLOOKUP("5-522001-7-F",data_code, 2,FALSE),0)</f>
        <v>1</v>
      </c>
      <c r="R46" s="4">
        <f>IFERROR(VLOOKUP("5-522001-8-M",data_code, 2,FALSE),0)</f>
        <v>0</v>
      </c>
      <c r="S46" s="18">
        <f>IFERROR(VLOOKUP("5-522001-8-F",data_code, 2,FALSE),0)</f>
        <v>0</v>
      </c>
      <c r="T46" s="4">
        <f>IFERROR(VLOOKUP("5-522001-9-M",data_code, 2,FALSE),0)</f>
        <v>0</v>
      </c>
      <c r="U46" s="4">
        <f>IFERROR(VLOOKUP("5-522001-9-F",data_code, 2,FALSE),0)</f>
        <v>0</v>
      </c>
      <c r="V46" s="32">
        <f t="shared" si="0"/>
        <v>18</v>
      </c>
      <c r="W46" s="18">
        <f t="shared" si="1"/>
        <v>2</v>
      </c>
      <c r="X46" s="28">
        <f t="shared" si="2"/>
        <v>20</v>
      </c>
    </row>
    <row r="47" spans="1:24" ht="14.25" customHeight="1">
      <c r="A47" s="83"/>
      <c r="B47" s="8">
        <v>54.010100000000001</v>
      </c>
      <c r="C47" s="9" t="s">
        <v>100</v>
      </c>
      <c r="D47" s="4">
        <f>IFERROR(VLOOKUP("5-540101-1-M",data_code, 2,FALSE),0)</f>
        <v>0</v>
      </c>
      <c r="E47" s="18">
        <f>IFERROR(VLOOKUP("5-540101-1-F",data_code, 2,FALSE),0)</f>
        <v>0</v>
      </c>
      <c r="F47" s="4">
        <f>IFERROR(VLOOKUP("5-540101-2-M",data_code, 2,FALSE),0)</f>
        <v>0</v>
      </c>
      <c r="G47" s="18">
        <f>IFERROR(VLOOKUP("5-540101-2-F",data_code, 2,FALSE),0)</f>
        <v>1</v>
      </c>
      <c r="H47" s="32">
        <f>IFERROR(VLOOKUP("5-540101-3-M",data_code, 2,FALSE),0)</f>
        <v>0</v>
      </c>
      <c r="I47" s="18">
        <f>IFERROR(VLOOKUP("5-540101-3-F",data_code, 2,FALSE),0)</f>
        <v>0</v>
      </c>
      <c r="J47" s="32">
        <f>IFERROR(VLOOKUP("5-540101-4-M",data_code, 2,FALSE),0)</f>
        <v>0</v>
      </c>
      <c r="K47" s="18">
        <f>IFERROR(VLOOKUP("5-540101-4-F",data_code, 2,FALSE),0)</f>
        <v>0</v>
      </c>
      <c r="L47" s="4">
        <f>IFERROR(VLOOKUP("5-540101-5-M",data_code, 2,FALSE),0)</f>
        <v>2</v>
      </c>
      <c r="M47" s="18">
        <f>IFERROR(VLOOKUP("5-540101-5-F",data_code, 2,FALSE),0)</f>
        <v>1</v>
      </c>
      <c r="N47" s="4">
        <f>IFERROR(VLOOKUP("5-540101-6-M",data_code, 2,FALSE),0)</f>
        <v>0</v>
      </c>
      <c r="O47" s="18">
        <f>IFERROR(VLOOKUP("5-540101-6-F",data_code, 2,FALSE),0)</f>
        <v>0</v>
      </c>
      <c r="P47" s="4">
        <f>IFERROR(VLOOKUP("5-540101-7-M",data_code, 2,FALSE),0)</f>
        <v>19</v>
      </c>
      <c r="Q47" s="18">
        <f>IFERROR(VLOOKUP("5-540101-7-F",data_code, 2,FALSE),0)</f>
        <v>14</v>
      </c>
      <c r="R47" s="4">
        <f>IFERROR(VLOOKUP("5-540101-8-M",data_code, 2,FALSE),0)</f>
        <v>1</v>
      </c>
      <c r="S47" s="18">
        <f>IFERROR(VLOOKUP("5-540101-8-F",data_code, 2,FALSE),0)</f>
        <v>0</v>
      </c>
      <c r="T47" s="4">
        <f>IFERROR(VLOOKUP("5-540101-9-M",data_code, 2,FALSE),0)</f>
        <v>0</v>
      </c>
      <c r="U47" s="4">
        <f>IFERROR(VLOOKUP("5-540101-9-F",data_code, 2,FALSE),0)</f>
        <v>1</v>
      </c>
      <c r="V47" s="19">
        <f t="shared" si="0"/>
        <v>22</v>
      </c>
      <c r="W47" s="18">
        <f t="shared" si="1"/>
        <v>17</v>
      </c>
      <c r="X47" s="28">
        <f t="shared" si="2"/>
        <v>39</v>
      </c>
    </row>
    <row r="48" spans="1:24">
      <c r="A48" s="83"/>
      <c r="B48" s="85" t="s">
        <v>29</v>
      </c>
      <c r="C48" s="87"/>
      <c r="D48" s="33">
        <f t="shared" ref="D48:U48" si="6">SUM(D3:D47)</f>
        <v>29</v>
      </c>
      <c r="E48" s="31">
        <f t="shared" si="6"/>
        <v>15</v>
      </c>
      <c r="F48" s="30">
        <f t="shared" si="6"/>
        <v>46</v>
      </c>
      <c r="G48" s="31">
        <f t="shared" si="6"/>
        <v>75</v>
      </c>
      <c r="H48" s="33">
        <f t="shared" si="6"/>
        <v>2</v>
      </c>
      <c r="I48" s="31">
        <f t="shared" si="6"/>
        <v>3</v>
      </c>
      <c r="J48" s="33">
        <f t="shared" si="6"/>
        <v>17</v>
      </c>
      <c r="K48" s="31">
        <f t="shared" si="6"/>
        <v>29</v>
      </c>
      <c r="L48" s="30">
        <f t="shared" si="6"/>
        <v>63</v>
      </c>
      <c r="M48" s="31">
        <f t="shared" si="6"/>
        <v>147</v>
      </c>
      <c r="N48" s="30">
        <f t="shared" si="6"/>
        <v>1</v>
      </c>
      <c r="O48" s="31">
        <f t="shared" si="6"/>
        <v>3</v>
      </c>
      <c r="P48" s="30">
        <f t="shared" si="6"/>
        <v>609</v>
      </c>
      <c r="Q48" s="31">
        <f t="shared" si="6"/>
        <v>880</v>
      </c>
      <c r="R48" s="30">
        <f t="shared" si="6"/>
        <v>26</v>
      </c>
      <c r="S48" s="31">
        <f t="shared" si="6"/>
        <v>40</v>
      </c>
      <c r="T48" s="30">
        <f t="shared" si="6"/>
        <v>17</v>
      </c>
      <c r="U48" s="30">
        <f t="shared" si="6"/>
        <v>31</v>
      </c>
      <c r="V48" s="33">
        <f t="shared" si="0"/>
        <v>810</v>
      </c>
      <c r="W48" s="31">
        <f t="shared" si="1"/>
        <v>1223</v>
      </c>
      <c r="X48" s="31">
        <f t="shared" si="2"/>
        <v>2033</v>
      </c>
    </row>
    <row r="49" spans="1:25" ht="15" customHeight="1">
      <c r="A49" s="88" t="s">
        <v>37</v>
      </c>
      <c r="B49" s="7" t="s">
        <v>9</v>
      </c>
      <c r="C49" s="6" t="s">
        <v>380</v>
      </c>
      <c r="D49" s="32">
        <f>IFERROR(VLOOKUP("6-090102-DMLC-1-M",data_code, 2,FALSE),0)</f>
        <v>0</v>
      </c>
      <c r="E49" s="18">
        <f>IFERROR(VLOOKUP("6-090102-DMLC-1-F",data_code, 2,FALSE),0)</f>
        <v>0</v>
      </c>
      <c r="F49" s="4">
        <f>IFERROR(VLOOKUP("6-090102-DMLC-2-M",data_code, 2,FALSE),0)</f>
        <v>0</v>
      </c>
      <c r="G49" s="18">
        <f>IFERROR(VLOOKUP("6-090102-DMLC-2-F",data_code, 2,FALSE),0)</f>
        <v>0</v>
      </c>
      <c r="H49" s="32">
        <f>IFERROR(VLOOKUP("6-090102-DMLC-3-M",data_code, 2,FALSE),0)</f>
        <v>0</v>
      </c>
      <c r="I49" s="18">
        <f>IFERROR(VLOOKUP("6-090102-DMLC-3-F",data_code, 2,FALSE),0)</f>
        <v>0</v>
      </c>
      <c r="J49" s="32">
        <f>IFERROR(VLOOKUP("6-090102-DMLC-4-M",data_code, 2,FALSE),0)</f>
        <v>0</v>
      </c>
      <c r="K49" s="18">
        <f>IFERROR(VLOOKUP("6-090102-DMLC-4-F",data_code, 2,FALSE),0)</f>
        <v>0</v>
      </c>
      <c r="L49" s="4">
        <f>IFERROR(VLOOKUP("6-090102-DMLC-5-M",data_code, 2,FALSE),0)</f>
        <v>0</v>
      </c>
      <c r="M49" s="18">
        <f>IFERROR(VLOOKUP("6-090102-DMLC-5-F",data_code, 2,FALSE),0)</f>
        <v>0</v>
      </c>
      <c r="N49" s="4">
        <f>IFERROR(VLOOKUP("6-090102-DMLC-6-M",data_code, 2,FALSE),0)</f>
        <v>0</v>
      </c>
      <c r="O49" s="18">
        <f>IFERROR(VLOOKUP("6-090102-DMLC-6-F",data_code, 2,FALSE),0)</f>
        <v>0</v>
      </c>
      <c r="P49" s="4">
        <f>IFERROR(VLOOKUP("6-090102-DMLC-7-M",data_code, 2,FALSE),0)</f>
        <v>0</v>
      </c>
      <c r="Q49" s="18">
        <f>IFERROR(VLOOKUP("6-090102-DMLC-7-F",data_code, 2,FALSE),0)</f>
        <v>1</v>
      </c>
      <c r="R49" s="4">
        <f>IFERROR(VLOOKUP("6-090102-DMLC-8-M",data_code, 2,FALSE),0)</f>
        <v>0</v>
      </c>
      <c r="S49" s="18">
        <f>IFERROR(VLOOKUP("6-090102-DMLC-8-F",data_code, 2,FALSE),0)</f>
        <v>0</v>
      </c>
      <c r="T49" s="4">
        <f>IFERROR(VLOOKUP("6-090102-DMLC-9-M",data_code, 2,FALSE),0)</f>
        <v>0</v>
      </c>
      <c r="U49" s="4">
        <f>IFERROR(VLOOKUP("6-090102-DMLC-9-F",data_code, 2,FALSE),0)</f>
        <v>0</v>
      </c>
      <c r="V49" s="32">
        <f t="shared" si="0"/>
        <v>0</v>
      </c>
      <c r="W49" s="4">
        <f t="shared" si="1"/>
        <v>1</v>
      </c>
      <c r="X49" s="38">
        <f t="shared" si="2"/>
        <v>1</v>
      </c>
      <c r="Y49" s="54"/>
    </row>
    <row r="50" spans="1:25" ht="15" customHeight="1">
      <c r="A50" s="89"/>
      <c r="B50" s="7" t="s">
        <v>104</v>
      </c>
      <c r="C50" s="6" t="s">
        <v>756</v>
      </c>
      <c r="D50" s="32">
        <f>IFERROR(VLOOKUP("6-130501-ITDS-1-M",data_code, 2,FALSE),0)</f>
        <v>0</v>
      </c>
      <c r="E50" s="18">
        <f>IFERROR(VLOOKUP("6-130501-ITDS-1-F",data_code, 2,FALSE),0)</f>
        <v>0</v>
      </c>
      <c r="F50" s="4">
        <f>IFERROR(VLOOKUP("6-130501-ITDS-2-M",data_code, 2,FALSE),0)</f>
        <v>0</v>
      </c>
      <c r="G50" s="18">
        <f>IFERROR(VLOOKUP("6-130501-ITDS-2-F",data_code, 2,FALSE),0)</f>
        <v>0</v>
      </c>
      <c r="H50" s="32">
        <f>IFERROR(VLOOKUP("6-130501-ITDS-3-M",data_code, 2,FALSE),0)</f>
        <v>0</v>
      </c>
      <c r="I50" s="18">
        <f>IFERROR(VLOOKUP("6-130501-ITDS-3-F",data_code, 2,FALSE),0)</f>
        <v>0</v>
      </c>
      <c r="J50" s="32">
        <f>IFERROR(VLOOKUP("6-130501-ITDS-4-M",data_code, 2,FALSE),0)</f>
        <v>0</v>
      </c>
      <c r="K50" s="18">
        <f>IFERROR(VLOOKUP("6-130501-ITDS-4-F",data_code, 2,FALSE),0)</f>
        <v>0</v>
      </c>
      <c r="L50" s="4">
        <f>IFERROR(VLOOKUP("6-130501-ITDS-5-M",data_code, 2,FALSE),0)</f>
        <v>0</v>
      </c>
      <c r="M50" s="18">
        <f>IFERROR(VLOOKUP("6-130501-ITDS-5-F",data_code, 2,FALSE),0)</f>
        <v>0</v>
      </c>
      <c r="N50" s="4">
        <f>IFERROR(VLOOKUP("6-130501-ITDS-6-M",data_code, 2,FALSE),0)</f>
        <v>0</v>
      </c>
      <c r="O50" s="18">
        <f>IFERROR(VLOOKUP("6-130501-ITDS-6-F",data_code, 2,FALSE),0)</f>
        <v>0</v>
      </c>
      <c r="P50" s="4">
        <f>IFERROR(VLOOKUP("6-130501-ITDS-7-M",data_code, 2,FALSE),0)</f>
        <v>0</v>
      </c>
      <c r="Q50" s="18">
        <f>IFERROR(VLOOKUP("6-130501-ITDS-7-F",data_code, 2,FALSE),0)</f>
        <v>2</v>
      </c>
      <c r="R50" s="4">
        <f>IFERROR(VLOOKUP("6-130501-ITDS-8-M",data_code, 2,FALSE),0)</f>
        <v>0</v>
      </c>
      <c r="S50" s="18">
        <f>IFERROR(VLOOKUP("6-130501-ITDS-8-F",data_code, 2,FALSE),0)</f>
        <v>0</v>
      </c>
      <c r="T50" s="4">
        <f>IFERROR(VLOOKUP("6-130501-ITDS-9-M",data_code, 2,FALSE),0)</f>
        <v>0</v>
      </c>
      <c r="U50" s="4">
        <f>IFERROR(VLOOKUP("6-130501-ITDS-9-F",data_code, 2,FALSE),0)</f>
        <v>1</v>
      </c>
      <c r="V50" s="32">
        <f>SUMIF($D$2:$U$2,"Men",D50:U50)</f>
        <v>0</v>
      </c>
      <c r="W50" s="4">
        <f t="shared" ref="W50" si="7">SUMIF($D$2:$U$2,"Women",D50:U50)</f>
        <v>3</v>
      </c>
      <c r="X50" s="38">
        <f t="shared" ref="X50" si="8">SUM(V50:W50)</f>
        <v>3</v>
      </c>
      <c r="Y50" s="54"/>
    </row>
    <row r="51" spans="1:25" ht="15" customHeight="1">
      <c r="A51" s="89"/>
      <c r="B51" s="7" t="s">
        <v>104</v>
      </c>
      <c r="C51" s="6" t="s">
        <v>755</v>
      </c>
      <c r="D51" s="32">
        <f>IFERROR(VLOOKUP("6-130501-ITEG-1-M",data_code, 2,FALSE),0)</f>
        <v>0</v>
      </c>
      <c r="E51" s="18">
        <f>IFERROR(VLOOKUP("6-130501-ITEG-1-F",data_code, 2,FALSE),0)</f>
        <v>0</v>
      </c>
      <c r="F51" s="4">
        <f>IFERROR(VLOOKUP("6-130501-ITEG-2-M",data_code, 2,FALSE),0)</f>
        <v>0</v>
      </c>
      <c r="G51" s="18">
        <f>IFERROR(VLOOKUP("6-130501-ITEG-2-F",data_code, 2,FALSE),0)</f>
        <v>1</v>
      </c>
      <c r="H51" s="32">
        <f>IFERROR(VLOOKUP("6-130501-ITEG-3-M",data_code, 2,FALSE),0)</f>
        <v>0</v>
      </c>
      <c r="I51" s="18">
        <f>IFERROR(VLOOKUP("6-130501-ITEG-3-F",data_code, 2,FALSE),0)</f>
        <v>0</v>
      </c>
      <c r="J51" s="32">
        <f>IFERROR(VLOOKUP("6-130501-ITEG-4-M",data_code, 2,FALSE),0)</f>
        <v>0</v>
      </c>
      <c r="K51" s="18">
        <f>IFERROR(VLOOKUP("6-130501-ITEG-4-F",data_code, 2,FALSE),0)</f>
        <v>0</v>
      </c>
      <c r="L51" s="4">
        <f>IFERROR(VLOOKUP("6-130501-ITEG-5-M",data_code, 2,FALSE),0)</f>
        <v>0</v>
      </c>
      <c r="M51" s="18">
        <f>IFERROR(VLOOKUP("6-130501-ITEG-5-F",data_code, 2,FALSE),0)</f>
        <v>0</v>
      </c>
      <c r="N51" s="4">
        <f>IFERROR(VLOOKUP("6-130501-ITEG-6-M",data_code, 2,FALSE),0)</f>
        <v>0</v>
      </c>
      <c r="O51" s="18">
        <f>IFERROR(VLOOKUP("6-130501-ITEG-6-F",data_code, 2,FALSE),0)</f>
        <v>0</v>
      </c>
      <c r="P51" s="4">
        <f>IFERROR(VLOOKUP("6-130501-ITEG-7-M",data_code, 2,FALSE),0)</f>
        <v>0</v>
      </c>
      <c r="Q51" s="18">
        <f>IFERROR(VLOOKUP("6-130501-ITEG-7-F",data_code, 2,FALSE),0)</f>
        <v>0</v>
      </c>
      <c r="R51" s="4">
        <f>IFERROR(VLOOKUP("6-130501-ITEG-8-M",data_code, 2,FALSE),0)</f>
        <v>0</v>
      </c>
      <c r="S51" s="18">
        <f>IFERROR(VLOOKUP("6-130501-ITEG-8-F",data_code, 2,FALSE),0)</f>
        <v>0</v>
      </c>
      <c r="T51" s="4">
        <f>IFERROR(VLOOKUP("6-130501-ITEG-9-M",data_code, 2,FALSE),0)</f>
        <v>0</v>
      </c>
      <c r="U51" s="4">
        <f>IFERROR(VLOOKUP("6-130501-ITEG-9-F",data_code, 2,FALSE),0)</f>
        <v>0</v>
      </c>
      <c r="V51" s="32">
        <f>SUMIF($D$2:$U$2,"Men",D51:U51)</f>
        <v>0</v>
      </c>
      <c r="W51" s="4">
        <f t="shared" ref="W51" si="9">SUMIF($D$2:$U$2,"Women",D51:U51)</f>
        <v>1</v>
      </c>
      <c r="X51" s="38">
        <f t="shared" ref="X51" si="10">SUM(V51:W51)</f>
        <v>1</v>
      </c>
      <c r="Y51" s="55"/>
    </row>
    <row r="52" spans="1:25" ht="15" customHeight="1">
      <c r="A52" s="89"/>
      <c r="B52" s="7" t="s">
        <v>104</v>
      </c>
      <c r="C52" s="6" t="s">
        <v>105</v>
      </c>
      <c r="D52" s="32">
        <f>IFERROR(VLOOKUP("6-130501-ITWB-1-M",data_code, 2,FALSE),0)</f>
        <v>0</v>
      </c>
      <c r="E52" s="18">
        <f>IFERROR(VLOOKUP("6-130501-ITWB-1-F",data_code, 2,FALSE),0)</f>
        <v>0</v>
      </c>
      <c r="F52" s="4">
        <f>IFERROR(VLOOKUP("6-130501-ITWB-2-M",data_code, 2,FALSE),0)</f>
        <v>0</v>
      </c>
      <c r="G52" s="18">
        <f>IFERROR(VLOOKUP("6-130501-ITWB-2-F",data_code, 2,FALSE),0)</f>
        <v>0</v>
      </c>
      <c r="H52" s="32">
        <f>IFERROR(VLOOKUP("6-130501-ITWB-3-M",data_code, 2,FALSE),0)</f>
        <v>0</v>
      </c>
      <c r="I52" s="18">
        <f>IFERROR(VLOOKUP("6-130501-ITWB-3-F",data_code, 2,FALSE),0)</f>
        <v>0</v>
      </c>
      <c r="J52" s="32">
        <f>IFERROR(VLOOKUP("6-130501-ITWB-4-M",data_code, 2,FALSE),0)</f>
        <v>0</v>
      </c>
      <c r="K52" s="18">
        <f>IFERROR(VLOOKUP("6-130501-ITWB-4-F",data_code, 2,FALSE),0)</f>
        <v>0</v>
      </c>
      <c r="L52" s="4">
        <f>IFERROR(VLOOKUP("6-130501-ITWB-5-M",data_code, 2,FALSE),0)</f>
        <v>0</v>
      </c>
      <c r="M52" s="18">
        <f>IFERROR(VLOOKUP("6-130501-ITWB-5-F",data_code, 2,FALSE),0)</f>
        <v>0</v>
      </c>
      <c r="N52" s="4">
        <f>IFERROR(VLOOKUP("6-130501-ITWB-6-M",data_code, 2,FALSE),0)</f>
        <v>0</v>
      </c>
      <c r="O52" s="18">
        <f>IFERROR(VLOOKUP("6-130501-ITWB-6-F",data_code, 2,FALSE),0)</f>
        <v>0</v>
      </c>
      <c r="P52" s="4">
        <f>IFERROR(VLOOKUP("6-130501-ITWB-7-M",data_code, 2,FALSE),0)</f>
        <v>0</v>
      </c>
      <c r="Q52" s="18">
        <f>IFERROR(VLOOKUP("6-130501-ITWB-7-F",data_code, 2,FALSE),0)</f>
        <v>1</v>
      </c>
      <c r="R52" s="4">
        <f>IFERROR(VLOOKUP("6-130501-ITWB-8-M",data_code, 2,FALSE),0)</f>
        <v>0</v>
      </c>
      <c r="S52" s="18">
        <f>IFERROR(VLOOKUP("6-130501-ITWB-8-F",data_code, 2,FALSE),0)</f>
        <v>0</v>
      </c>
      <c r="T52" s="4">
        <f>IFERROR(VLOOKUP("6-130501-ITWB-9-M",data_code, 2,FALSE),0)</f>
        <v>0</v>
      </c>
      <c r="U52" s="4">
        <f>IFERROR(VLOOKUP("6-130501-ITWB-9-F",data_code, 2,FALSE),0)</f>
        <v>0</v>
      </c>
      <c r="V52" s="32">
        <f t="shared" si="0"/>
        <v>0</v>
      </c>
      <c r="W52" s="4">
        <f t="shared" si="1"/>
        <v>1</v>
      </c>
      <c r="X52" s="38">
        <f t="shared" si="2"/>
        <v>1</v>
      </c>
    </row>
    <row r="53" spans="1:25" ht="15" customHeight="1">
      <c r="A53" s="89"/>
      <c r="B53" s="7" t="s">
        <v>104</v>
      </c>
      <c r="C53" s="6" t="s">
        <v>529</v>
      </c>
      <c r="D53" s="32">
        <f>IFERROR(VLOOKUP("6-130501-ITOL-1-M",data_code, 2,FALSE),0)</f>
        <v>0</v>
      </c>
      <c r="E53" s="18">
        <f>IFERROR(VLOOKUP("6-130501-ITOL-1-F",data_code, 2,FALSE),0)</f>
        <v>0</v>
      </c>
      <c r="F53" s="4">
        <f>IFERROR(VLOOKUP("6-130501-ITOL-2-M",data_code, 2,FALSE),0)</f>
        <v>0</v>
      </c>
      <c r="G53" s="18">
        <f>IFERROR(VLOOKUP("6-130501-ITOL-2-F",data_code, 2,FALSE),0)</f>
        <v>0</v>
      </c>
      <c r="H53" s="32">
        <f>IFERROR(VLOOKUP("6-130501-ITOL-3-M",data_code, 2,FALSE),0)</f>
        <v>0</v>
      </c>
      <c r="I53" s="18">
        <f>IFERROR(VLOOKUP("6-130501-ITOL-3-F",data_code, 2,FALSE),0)</f>
        <v>0</v>
      </c>
      <c r="J53" s="32">
        <f>IFERROR(VLOOKUP("6-130501-ITOL-4-M",data_code, 2,FALSE),0)</f>
        <v>0</v>
      </c>
      <c r="K53" s="18">
        <f>IFERROR(VLOOKUP("6-130501-ITOL-4-F",data_code, 2,FALSE),0)</f>
        <v>0</v>
      </c>
      <c r="L53" s="4">
        <f>IFERROR(VLOOKUP("6-130501-ITOL-5-M",data_code, 2,FALSE),0)</f>
        <v>0</v>
      </c>
      <c r="M53" s="18">
        <f>IFERROR(VLOOKUP("6-130501-ITOL-5-F",data_code, 2,FALSE),0)</f>
        <v>0</v>
      </c>
      <c r="N53" s="4">
        <f>IFERROR(VLOOKUP("6-130501-ITOL-6-M",data_code, 2,FALSE),0)</f>
        <v>0</v>
      </c>
      <c r="O53" s="18">
        <f>IFERROR(VLOOKUP("6-130501-ITOL-6-F",data_code, 2,FALSE),0)</f>
        <v>0</v>
      </c>
      <c r="P53" s="4">
        <f>IFERROR(VLOOKUP("6-130501-ITOL-7-M",data_code, 2,FALSE),0)</f>
        <v>0</v>
      </c>
      <c r="Q53" s="18">
        <f>IFERROR(VLOOKUP("6-130501-ITOL-7-F",data_code, 2,FALSE),0)</f>
        <v>0</v>
      </c>
      <c r="R53" s="4">
        <f>IFERROR(VLOOKUP("6-130501-ITOL-8-M",data_code, 2,FALSE),0)</f>
        <v>0</v>
      </c>
      <c r="S53" s="18">
        <f>IFERROR(VLOOKUP("6-130501-ITOL-8-F",data_code, 2,FALSE),0)</f>
        <v>0</v>
      </c>
      <c r="T53" s="4">
        <f>IFERROR(VLOOKUP("6-130501-ITOL-9-M",data_code, 2,FALSE),0)</f>
        <v>1</v>
      </c>
      <c r="U53" s="4">
        <f>IFERROR(VLOOKUP("6-130501-ITOL-9-F",data_code, 2,FALSE),0)</f>
        <v>0</v>
      </c>
      <c r="V53" s="32">
        <f t="shared" ref="V53" si="11">SUMIF($D$2:$U$2,"Men",D53:U53)</f>
        <v>1</v>
      </c>
      <c r="W53" s="4">
        <f t="shared" ref="W53" si="12">SUMIF($D$2:$U$2,"Women",D53:U53)</f>
        <v>0</v>
      </c>
      <c r="X53" s="38">
        <f t="shared" ref="X53" si="13">SUM(V53:W53)</f>
        <v>1</v>
      </c>
    </row>
    <row r="54" spans="1:25" ht="15" customHeight="1">
      <c r="A54" s="89"/>
      <c r="B54" s="7" t="s">
        <v>106</v>
      </c>
      <c r="C54" s="6" t="s">
        <v>107</v>
      </c>
      <c r="D54" s="32">
        <f>IFERROR(VLOOKUP("6-230101-ENTC-1-M",data_code, 2,FALSE),0)</f>
        <v>0</v>
      </c>
      <c r="E54" s="18">
        <f>IFERROR(VLOOKUP("6-230101-ENTC-1-F",data_code, 2,FALSE),0)</f>
        <v>0</v>
      </c>
      <c r="F54" s="4">
        <f>IFERROR(VLOOKUP("6-230101-ENTC-2-M",data_code, 2,FALSE),0)</f>
        <v>0</v>
      </c>
      <c r="G54" s="18">
        <f>IFERROR(VLOOKUP("6-230101-ENTC-2-F",data_code, 2,FALSE),0)</f>
        <v>0</v>
      </c>
      <c r="H54" s="32">
        <f>IFERROR(VLOOKUP("6-230101-ENTC-3-M",data_code, 2,FALSE),0)</f>
        <v>0</v>
      </c>
      <c r="I54" s="18">
        <f>IFERROR(VLOOKUP("6-230101-ENTC-3-F",data_code, 2,FALSE),0)</f>
        <v>0</v>
      </c>
      <c r="J54" s="32">
        <f>IFERROR(VLOOKUP("6-230101-ENTC-4-M",data_code, 2,FALSE),0)</f>
        <v>0</v>
      </c>
      <c r="K54" s="18">
        <f>IFERROR(VLOOKUP("6-230101-ENTC-4-F",data_code, 2,FALSE),0)</f>
        <v>0</v>
      </c>
      <c r="L54" s="4">
        <f>IFERROR(VLOOKUP("6-230101-ENTC-5-M",data_code, 2,FALSE),0)</f>
        <v>0</v>
      </c>
      <c r="M54" s="18">
        <f>IFERROR(VLOOKUP("6-230101-ENTC-5-F",data_code, 2,FALSE),0)</f>
        <v>0</v>
      </c>
      <c r="N54" s="4">
        <f>IFERROR(VLOOKUP("6-230101-ENTC-6-M",data_code, 2,FALSE),0)</f>
        <v>0</v>
      </c>
      <c r="O54" s="18">
        <f>IFERROR(VLOOKUP("6-230101-ENTC-6-F",data_code, 2,FALSE),0)</f>
        <v>0</v>
      </c>
      <c r="P54" s="4">
        <f>IFERROR(VLOOKUP("6-230101-ENTC-7-M",data_code, 2,FALSE),0)</f>
        <v>0</v>
      </c>
      <c r="Q54" s="18">
        <f>IFERROR(VLOOKUP("6-230101-ENTC-7-F",data_code, 2,FALSE),0)</f>
        <v>1</v>
      </c>
      <c r="R54" s="4">
        <f>IFERROR(VLOOKUP("6-230101-ENTC-8-M",data_code, 2,FALSE),0)</f>
        <v>0</v>
      </c>
      <c r="S54" s="18">
        <f>IFERROR(VLOOKUP("6-230101-ENTC-8-F",data_code, 2,FALSE),0)</f>
        <v>0</v>
      </c>
      <c r="T54" s="4">
        <f>IFERROR(VLOOKUP("6-230101-ENTC-9-M",data_code, 2,FALSE),0)</f>
        <v>0</v>
      </c>
      <c r="U54" s="4">
        <f>IFERROR(VLOOKUP("6-230101-ENTC-9-F",data_code, 2,FALSE),0)</f>
        <v>0</v>
      </c>
      <c r="V54" s="32">
        <f t="shared" si="0"/>
        <v>0</v>
      </c>
      <c r="W54" s="4">
        <f t="shared" si="1"/>
        <v>1</v>
      </c>
      <c r="X54" s="38">
        <f t="shared" si="2"/>
        <v>1</v>
      </c>
    </row>
    <row r="55" spans="1:25">
      <c r="A55" s="89"/>
      <c r="B55" s="5">
        <v>30.1401</v>
      </c>
      <c r="C55" s="6" t="s">
        <v>3</v>
      </c>
      <c r="D55" s="32">
        <f>IFERROR(VLOOKUP("6-301401-HIMS-1-M",data_code, 2,FALSE),0)</f>
        <v>0</v>
      </c>
      <c r="E55" s="18">
        <f>IFERROR(VLOOKUP("6-301401-HIMS-1-F",data_code, 2,FALSE),0)</f>
        <v>0</v>
      </c>
      <c r="F55" s="4">
        <f>IFERROR(VLOOKUP("6-301401-HIMS-2-M",data_code, 2,FALSE),0)</f>
        <v>0</v>
      </c>
      <c r="G55" s="18">
        <f>IFERROR(VLOOKUP("6-301401-HIMS-2-F",data_code, 2,FALSE),0)</f>
        <v>0</v>
      </c>
      <c r="H55" s="32">
        <f>IFERROR(VLOOKUP("6-301401-HIMS-3-M",data_code, 2,FALSE),0)</f>
        <v>0</v>
      </c>
      <c r="I55" s="18">
        <f>IFERROR(VLOOKUP("6-301401-HIMS-3-F",data_code, 2,FALSE),0)</f>
        <v>0</v>
      </c>
      <c r="J55" s="32">
        <f>IFERROR(VLOOKUP("6-301401-HIMS-4-M",data_code, 2,FALSE),0)</f>
        <v>0</v>
      </c>
      <c r="K55" s="18">
        <f>IFERROR(VLOOKUP("6-301401-HIMS-4-F",data_code, 2,FALSE),0)</f>
        <v>0</v>
      </c>
      <c r="L55" s="4">
        <f>IFERROR(VLOOKUP("6-301401-HIMS-5-M",data_code, 2,FALSE),0)</f>
        <v>0</v>
      </c>
      <c r="M55" s="18">
        <f>IFERROR(VLOOKUP("6-301401-HIMS-5-F",data_code, 2,FALSE),0)</f>
        <v>0</v>
      </c>
      <c r="N55" s="4">
        <f>IFERROR(VLOOKUP("6-301401-HIMS-6-M",data_code, 2,FALSE),0)</f>
        <v>0</v>
      </c>
      <c r="O55" s="18">
        <f>IFERROR(VLOOKUP("6-301401-HIMS-6-F",data_code, 2,FALSE),0)</f>
        <v>0</v>
      </c>
      <c r="P55" s="4">
        <f>IFERROR(VLOOKUP("6-301401-HIMS-7-M",data_code, 2,FALSE),0)</f>
        <v>1</v>
      </c>
      <c r="Q55" s="18">
        <f>IFERROR(VLOOKUP("6-301401-HIMS-7-F",data_code, 2,FALSE),0)</f>
        <v>0</v>
      </c>
      <c r="R55" s="4">
        <f>IFERROR(VLOOKUP("6-301401-HIMS-8-M",data_code, 2,FALSE),0)</f>
        <v>0</v>
      </c>
      <c r="S55" s="18">
        <f>IFERROR(VLOOKUP("6-301401-HIMS-8-F",data_code, 2,FALSE),0)</f>
        <v>0</v>
      </c>
      <c r="T55" s="4">
        <f>IFERROR(VLOOKUP("6-301401-HIMS-9-M",data_code, 2,FALSE),0)</f>
        <v>0</v>
      </c>
      <c r="U55" s="4">
        <f>IFERROR(VLOOKUP("6-301401-HIMS-9-F",data_code, 2,FALSE),0)</f>
        <v>0</v>
      </c>
      <c r="V55" s="32">
        <f t="shared" si="0"/>
        <v>1</v>
      </c>
      <c r="W55" s="4">
        <f t="shared" si="1"/>
        <v>0</v>
      </c>
      <c r="X55" s="38">
        <f t="shared" si="2"/>
        <v>1</v>
      </c>
    </row>
    <row r="56" spans="1:25">
      <c r="A56" s="89"/>
      <c r="B56" s="5" t="s">
        <v>758</v>
      </c>
      <c r="C56" s="6" t="s">
        <v>757</v>
      </c>
      <c r="D56" s="18">
        <f>IFERROR(VLOOKUP("6-307001-DSCI-1-M",data_code, 2,FALSE),0)</f>
        <v>2</v>
      </c>
      <c r="E56" s="18">
        <f>IFERROR(VLOOKUP("6-307001-DSCI-1-F",data_code, 2,FALSE),0)</f>
        <v>2</v>
      </c>
      <c r="F56" s="4">
        <f>IFERROR(VLOOKUP("6-307001-DSCI-2-M",data_code, 2,FALSE),0)</f>
        <v>0</v>
      </c>
      <c r="G56" s="18">
        <f>IFERROR(VLOOKUP("6-307001-DSCI-2-F",data_code, 2,FALSE),0)</f>
        <v>0</v>
      </c>
      <c r="H56" s="32">
        <f>IFERROR(VLOOKUP("6-307001-DSCI-3-M",data_code, 2,FALSE),0)</f>
        <v>0</v>
      </c>
      <c r="I56" s="18">
        <f>IFERROR(VLOOKUP("6-307001-DSCI-3-F",data_code, 2,FALSE),0)</f>
        <v>0</v>
      </c>
      <c r="J56" s="32">
        <f>IFERROR(VLOOKUP("6-307001-DSCI-4-M",data_code, 2,FALSE),0)</f>
        <v>0</v>
      </c>
      <c r="K56" s="18">
        <f>IFERROR(VLOOKUP("6-307001-DSCI-4-F",data_code, 2,FALSE),0)</f>
        <v>0</v>
      </c>
      <c r="L56" s="4">
        <f>IFERROR(VLOOKUP("6-3307001-DSCI-5-M",data_code, 2,FALSE),0)</f>
        <v>0</v>
      </c>
      <c r="M56" s="18">
        <f>IFERROR(VLOOKUP("6-307001-DSCI-5-F",data_code, 2,FALSE),0)</f>
        <v>0</v>
      </c>
      <c r="N56" s="4">
        <f>IFERROR(VLOOKUP("6-307001-DSCI-6-M",data_code, 2,FALSE),0)</f>
        <v>0</v>
      </c>
      <c r="O56" s="18">
        <f>IFERROR(VLOOKUP("6-307001-DSCI-6-F",data_code, 2,FALSE),0)</f>
        <v>0</v>
      </c>
      <c r="P56" s="4">
        <f>IFERROR(VLOOKUP("6-307001-DSCI-7-M",data_code, 2,FALSE),0)</f>
        <v>0</v>
      </c>
      <c r="Q56" s="18">
        <f>IFERROR(VLOOKUP("6-307001-DSCI-7-F",data_code, 2,FALSE),0)</f>
        <v>0</v>
      </c>
      <c r="R56" s="4">
        <f>IFERROR(VLOOKUP("6-307001-DSCI-8-M",data_code, 2,FALSE),0)</f>
        <v>0</v>
      </c>
      <c r="S56" s="18">
        <f>IFERROR(VLOOKUP("6-307001-DSCIS-8-F",data_code, 2,FALSE),0)</f>
        <v>0</v>
      </c>
      <c r="T56" s="4">
        <f>IFERROR(VLOOKUP("6-307001-DSCI-9-M",data_code, 2,FALSE),0)</f>
        <v>0</v>
      </c>
      <c r="U56" s="4">
        <f>IFERROR(VLOOKUP("6-307001-DSCI-9-F",data_code, 2,FALSE),0)</f>
        <v>0</v>
      </c>
      <c r="V56" s="32">
        <f t="shared" ref="V56" si="14">SUMIF($D$2:$U$2,"Men",D56:U56)</f>
        <v>2</v>
      </c>
      <c r="W56" s="4">
        <f t="shared" ref="W56" si="15">SUMIF($D$2:$U$2,"Women",D56:U56)</f>
        <v>2</v>
      </c>
      <c r="X56" s="38">
        <f t="shared" si="2"/>
        <v>4</v>
      </c>
    </row>
    <row r="57" spans="1:25">
      <c r="A57" s="89"/>
      <c r="B57" s="5" t="s">
        <v>523</v>
      </c>
      <c r="C57" s="6" t="s">
        <v>524</v>
      </c>
      <c r="D57" s="32">
        <f>IFERROR(VLOOKUP("6-440401-PLS-1-M",data_code, 2,FALSE),0)</f>
        <v>0</v>
      </c>
      <c r="E57" s="18">
        <f>IFERROR(VLOOKUP("6-440401-PLS-1-F",data_code, 2,FALSE),0)</f>
        <v>0</v>
      </c>
      <c r="F57" s="4">
        <f>IFERROR(VLOOKUP("6-440401-PLS-2-M",data_code, 2,FALSE),0)</f>
        <v>0</v>
      </c>
      <c r="G57" s="18">
        <f>IFERROR(VLOOKUP("6-440401-PLS-2-F",data_code, 2,FALSE),0)</f>
        <v>0</v>
      </c>
      <c r="H57" s="32">
        <f>IFERROR(VLOOKUP("6-440401-PLS-3-M",data_code, 2,FALSE),0)</f>
        <v>0</v>
      </c>
      <c r="I57" s="18">
        <f>IFERROR(VLOOKUP("6-440401-PLS-3-F",data_code, 2,FALSE),0)</f>
        <v>0</v>
      </c>
      <c r="J57" s="32">
        <f>IFERROR(VLOOKUP("6-440401-PLS-4-M",data_code, 2,FALSE),0)</f>
        <v>0</v>
      </c>
      <c r="K57" s="18">
        <f>IFERROR(VLOOKUP("6-440401-PLS-4-F",data_code, 2,FALSE),0)</f>
        <v>0</v>
      </c>
      <c r="L57" s="4">
        <f>IFERROR(VLOOKUP("6-440401-PLS-5-M",data_code, 2,FALSE),0)</f>
        <v>0</v>
      </c>
      <c r="M57" s="18">
        <f>IFERROR(VLOOKUP("6-440401-PLS-5-F",data_code, 2,FALSE),0)</f>
        <v>1</v>
      </c>
      <c r="N57" s="4">
        <f>IFERROR(VLOOKUP("6-440401-PLS-6-M",data_code, 2,FALSE),0)</f>
        <v>0</v>
      </c>
      <c r="O57" s="18">
        <f>IFERROR(VLOOKUP("6-440401-PLS-6-F",data_code, 2,FALSE),0)</f>
        <v>0</v>
      </c>
      <c r="P57" s="4">
        <f>IFERROR(VLOOKUP("6-440401-PLS-7-M",data_code, 2,FALSE),0)</f>
        <v>0</v>
      </c>
      <c r="Q57" s="18">
        <f>IFERROR(VLOOKUP("6-440401-PLS-7-F",data_code, 2,FALSE),0)</f>
        <v>1</v>
      </c>
      <c r="R57" s="4">
        <f>IFERROR(VLOOKUP("6-440401-PLS-8-M",data_code, 2,FALSE),0)</f>
        <v>0</v>
      </c>
      <c r="S57" s="18">
        <f>IFERROR(VLOOKUP("6-440401-PLS-8-F",data_code, 2,FALSE),0)</f>
        <v>0</v>
      </c>
      <c r="T57" s="4">
        <f>IFERROR(VLOOKUP("6-440401-PLS-9-M",data_code, 2,FALSE),0)</f>
        <v>0</v>
      </c>
      <c r="U57" s="4">
        <f>IFERROR(VLOOKUP("6-440401-PLS-9-F",data_code, 2,FALSE),0)</f>
        <v>0</v>
      </c>
      <c r="V57" s="32">
        <f t="shared" ref="V57" si="16">SUMIF($D$2:$U$2,"Men",D57:U57)</f>
        <v>0</v>
      </c>
      <c r="W57" s="4">
        <f t="shared" ref="W57" si="17">SUMIF($D$2:$U$2,"Women",D57:U57)</f>
        <v>2</v>
      </c>
      <c r="X57" s="38">
        <f t="shared" ref="X57" si="18">SUM(V57:W57)</f>
        <v>2</v>
      </c>
    </row>
    <row r="58" spans="1:25">
      <c r="A58" s="89"/>
      <c r="B58" s="8">
        <v>50.091200000000001</v>
      </c>
      <c r="C58" s="9" t="s">
        <v>4</v>
      </c>
      <c r="D58" s="19">
        <f>IFERROR(VLOOKUP("6-500912-MUVP-1-M",data_code, 2,FALSE),0)</f>
        <v>0</v>
      </c>
      <c r="E58" s="50">
        <f>IFERROR(VLOOKUP("6-500912-MUVP-1-F",data_code, 2,FALSE),0)</f>
        <v>0</v>
      </c>
      <c r="F58" s="10">
        <f>IFERROR(VLOOKUP("6-500912-MUVP-2-M",data_code, 2,FALSE),0)</f>
        <v>0</v>
      </c>
      <c r="G58" s="50">
        <f>IFERROR(VLOOKUP("6-500912-MUVP-2-F",data_code, 2,FALSE),0)</f>
        <v>0</v>
      </c>
      <c r="H58" s="19">
        <f>IFERROR(VLOOKUP("6-500912-MUVP-3-M",data_code, 2,FALSE),0)</f>
        <v>0</v>
      </c>
      <c r="I58" s="50">
        <f>IFERROR(VLOOKUP("6-500912-MUVP-3-F",data_code, 2,FALSE),0)</f>
        <v>0</v>
      </c>
      <c r="J58" s="19">
        <f>IFERROR(VLOOKUP("6-500912-MUVP-4-M",data_code, 2,FALSE),0)</f>
        <v>0</v>
      </c>
      <c r="K58" s="50">
        <f>IFERROR(VLOOKUP("6-500912-MUVP-4-F",data_code, 2,FALSE),0)</f>
        <v>0</v>
      </c>
      <c r="L58" s="10">
        <f>IFERROR(VLOOKUP("6-500912-MUVP-5-M",data_code, 2,FALSE),0)</f>
        <v>0</v>
      </c>
      <c r="M58" s="50">
        <f>IFERROR(VLOOKUP("6-500912-MUVP-5-F",data_code, 2,FALSE),0)</f>
        <v>0</v>
      </c>
      <c r="N58" s="10">
        <f>IFERROR(VLOOKUP("6-500912-MUVP-6-M",data_code, 2,FALSE),0)</f>
        <v>0</v>
      </c>
      <c r="O58" s="50">
        <f>IFERROR(VLOOKUP("6-500912-MUVP-6-F",data_code, 2,FALSE),0)</f>
        <v>0</v>
      </c>
      <c r="P58" s="10">
        <f>IFERROR(VLOOKUP("6-500912-MUVP-7-M",data_code, 2,FALSE),0)</f>
        <v>0</v>
      </c>
      <c r="Q58" s="50">
        <f>IFERROR(VLOOKUP("6-500912-MUVP-7-F",data_code, 2,FALSE),0)</f>
        <v>0</v>
      </c>
      <c r="R58" s="10">
        <f>IFERROR(VLOOKUP("6-500912-MUVP-8-M",data_code, 2,FALSE),0)</f>
        <v>0</v>
      </c>
      <c r="S58" s="50">
        <f>IFERROR(VLOOKUP("6-500912-MUVP-8-F",data_code, 2,FALSE),0)</f>
        <v>0</v>
      </c>
      <c r="T58" s="10">
        <f>IFERROR(VLOOKUP("6-500912-MUVP-9-M",data_code, 2,FALSE),0)</f>
        <v>0</v>
      </c>
      <c r="U58" s="10">
        <f>IFERROR(VLOOKUP("6-500912-MUVP-9-F",data_code, 2,FALSE),0)</f>
        <v>1</v>
      </c>
      <c r="V58" s="19">
        <f t="shared" si="0"/>
        <v>0</v>
      </c>
      <c r="W58" s="10">
        <f t="shared" si="1"/>
        <v>1</v>
      </c>
      <c r="X58" s="39">
        <f t="shared" si="2"/>
        <v>1</v>
      </c>
    </row>
    <row r="59" spans="1:25">
      <c r="A59" s="90"/>
      <c r="B59" s="85" t="s">
        <v>30</v>
      </c>
      <c r="C59" s="86"/>
      <c r="D59" s="33">
        <f t="shared" ref="D59:U59" si="19">SUM(D49:D58)</f>
        <v>2</v>
      </c>
      <c r="E59" s="31">
        <f t="shared" si="19"/>
        <v>2</v>
      </c>
      <c r="F59" s="30">
        <f t="shared" si="19"/>
        <v>0</v>
      </c>
      <c r="G59" s="31">
        <f t="shared" si="19"/>
        <v>1</v>
      </c>
      <c r="H59" s="33">
        <f t="shared" si="19"/>
        <v>0</v>
      </c>
      <c r="I59" s="31">
        <f t="shared" si="19"/>
        <v>0</v>
      </c>
      <c r="J59" s="33">
        <f t="shared" si="19"/>
        <v>0</v>
      </c>
      <c r="K59" s="31">
        <f t="shared" si="19"/>
        <v>0</v>
      </c>
      <c r="L59" s="30">
        <f t="shared" si="19"/>
        <v>0</v>
      </c>
      <c r="M59" s="31">
        <f t="shared" si="19"/>
        <v>1</v>
      </c>
      <c r="N59" s="30">
        <f t="shared" si="19"/>
        <v>0</v>
      </c>
      <c r="O59" s="31">
        <f t="shared" si="19"/>
        <v>0</v>
      </c>
      <c r="P59" s="30">
        <f t="shared" si="19"/>
        <v>1</v>
      </c>
      <c r="Q59" s="31">
        <f t="shared" si="19"/>
        <v>6</v>
      </c>
      <c r="R59" s="30">
        <f t="shared" si="19"/>
        <v>0</v>
      </c>
      <c r="S59" s="31">
        <f t="shared" si="19"/>
        <v>0</v>
      </c>
      <c r="T59" s="30">
        <f t="shared" si="19"/>
        <v>1</v>
      </c>
      <c r="U59" s="30">
        <f t="shared" si="19"/>
        <v>2</v>
      </c>
      <c r="V59" s="33">
        <f t="shared" si="0"/>
        <v>4</v>
      </c>
      <c r="W59" s="30">
        <f t="shared" si="1"/>
        <v>12</v>
      </c>
      <c r="X59" s="41">
        <f t="shared" si="2"/>
        <v>16</v>
      </c>
    </row>
    <row r="60" spans="1:25" ht="15" customHeight="1">
      <c r="A60" s="82" t="s">
        <v>36</v>
      </c>
      <c r="B60" s="2" t="s">
        <v>7</v>
      </c>
      <c r="C60" s="3" t="s">
        <v>108</v>
      </c>
      <c r="D60" s="15">
        <f>IFERROR(VLOOKUP("7-030104-1-M",data_code, 2,FALSE),0)</f>
        <v>6</v>
      </c>
      <c r="E60" s="17">
        <f>IFERROR(VLOOKUP("7-030104-1-F",data_code, 2,FALSE),0)</f>
        <v>1</v>
      </c>
      <c r="F60" s="16">
        <f>IFERROR(VLOOKUP("7-030104-2-M",data_code, 2,FALSE),0)</f>
        <v>0</v>
      </c>
      <c r="G60" s="17">
        <f>IFERROR(VLOOKUP("7-030104-2-F",data_code, 2,FALSE),0)</f>
        <v>0</v>
      </c>
      <c r="H60" s="15">
        <f>IFERROR(VLOOKUP("7-030104-3-M",data_code, 2,FALSE),0)</f>
        <v>0</v>
      </c>
      <c r="I60" s="17">
        <f>IFERROR(VLOOKUP("7-030104-3-F",data_code, 2,FALSE),0)</f>
        <v>0</v>
      </c>
      <c r="J60" s="15">
        <f>IFERROR(VLOOKUP("7-030104-4-M",data_code, 2,FALSE),0)</f>
        <v>1</v>
      </c>
      <c r="K60" s="17">
        <f>IFERROR(VLOOKUP("7-030104-4-F",data_code, 2,FALSE),0)</f>
        <v>0</v>
      </c>
      <c r="L60" s="16">
        <f>IFERROR(VLOOKUP("7-030104-5-M",data_code, 2,FALSE),0)</f>
        <v>0</v>
      </c>
      <c r="M60" s="17">
        <f>IFERROR(VLOOKUP("7-030104-5-F",data_code, 2,FALSE),0)</f>
        <v>0</v>
      </c>
      <c r="N60" s="16">
        <f>IFERROR(VLOOKUP("7-030104-6-M",data_code, 2,FALSE),0)</f>
        <v>0</v>
      </c>
      <c r="O60" s="17">
        <f>IFERROR(VLOOKUP("7-030104-6-F",data_code, 2,FALSE),0)</f>
        <v>0</v>
      </c>
      <c r="P60" s="16">
        <f>IFERROR(VLOOKUP("7-030104-7-M",data_code, 2,FALSE),0)</f>
        <v>1</v>
      </c>
      <c r="Q60" s="17">
        <f>IFERROR(VLOOKUP("7-030104-7-F",data_code, 2,FALSE),0)</f>
        <v>0</v>
      </c>
      <c r="R60" s="16">
        <f>IFERROR(VLOOKUP("7-030104-8-M",data_code, 2,FALSE),0)</f>
        <v>0</v>
      </c>
      <c r="S60" s="17">
        <f>IFERROR(VLOOKUP("7-030104-8-F",data_code, 2,FALSE),0)</f>
        <v>0</v>
      </c>
      <c r="T60" s="16">
        <f>IFERROR(VLOOKUP("7-030104-9-M",data_code, 2,FALSE),0)</f>
        <v>1</v>
      </c>
      <c r="U60" s="16">
        <f>IFERROR(VLOOKUP("7-030104-9-F",data_code, 2,FALSE),0)</f>
        <v>0</v>
      </c>
      <c r="V60" s="15">
        <f t="shared" si="0"/>
        <v>9</v>
      </c>
      <c r="W60" s="16">
        <f t="shared" si="1"/>
        <v>1</v>
      </c>
      <c r="X60" s="37">
        <f t="shared" si="2"/>
        <v>10</v>
      </c>
    </row>
    <row r="61" spans="1:25">
      <c r="A61" s="83"/>
      <c r="B61" s="5" t="s">
        <v>8</v>
      </c>
      <c r="C61" s="6" t="s">
        <v>109</v>
      </c>
      <c r="D61" s="32">
        <f>IFERROR(VLOOKUP("7-090101-1-M",data_code, 2,FALSE),0)</f>
        <v>1</v>
      </c>
      <c r="E61" s="18">
        <f>IFERROR(VLOOKUP("7-090101-1-F",data_code, 2,FALSE),0)</f>
        <v>3</v>
      </c>
      <c r="F61" s="4">
        <f>IFERROR(VLOOKUP("7-090101-2-M",data_code, 2,FALSE),0)</f>
        <v>0</v>
      </c>
      <c r="G61" s="18">
        <f>IFERROR(VLOOKUP("7-090101-2-F",data_code, 2,FALSE),0)</f>
        <v>0</v>
      </c>
      <c r="H61" s="32">
        <f>IFERROR(VLOOKUP("7-090101-3-M",data_code, 2,FALSE),0)</f>
        <v>0</v>
      </c>
      <c r="I61" s="18">
        <f>IFERROR(VLOOKUP("7-090101-3-F",data_code, 2,FALSE),0)</f>
        <v>0</v>
      </c>
      <c r="J61" s="32">
        <f>IFERROR(VLOOKUP("7-090101-4-M",data_code, 2,FALSE),0)</f>
        <v>0</v>
      </c>
      <c r="K61" s="18">
        <f>IFERROR(VLOOKUP("7-090101-4-F",data_code, 2,FALSE),0)</f>
        <v>0</v>
      </c>
      <c r="L61" s="4">
        <f>IFERROR(VLOOKUP("7-090101-5-M",data_code, 2,FALSE),0)</f>
        <v>0</v>
      </c>
      <c r="M61" s="18">
        <f>IFERROR(VLOOKUP("7-090101-5-F",data_code, 2,FALSE),0)</f>
        <v>0</v>
      </c>
      <c r="N61" s="4">
        <f>IFERROR(VLOOKUP("7-090101-6-M",data_code, 2,FALSE),0)</f>
        <v>0</v>
      </c>
      <c r="O61" s="18">
        <f>IFERROR(VLOOKUP("7-090101-6-F",data_code, 2,FALSE),0)</f>
        <v>0</v>
      </c>
      <c r="P61" s="4">
        <f>IFERROR(VLOOKUP("7-090101-7-M",data_code, 2,FALSE),0)</f>
        <v>0</v>
      </c>
      <c r="Q61" s="18">
        <f>IFERROR(VLOOKUP("7-090101-7-F",data_code, 2,FALSE),0)</f>
        <v>3</v>
      </c>
      <c r="R61" s="4">
        <f>IFERROR(VLOOKUP("7-090101-8-M",data_code, 2,FALSE),0)</f>
        <v>0</v>
      </c>
      <c r="S61" s="18">
        <f>IFERROR(VLOOKUP("7-090101-8-F",data_code, 2,FALSE),0)</f>
        <v>0</v>
      </c>
      <c r="T61" s="4">
        <f>IFERROR(VLOOKUP("7-090101-9-M",data_code, 2,FALSE),0)</f>
        <v>0</v>
      </c>
      <c r="U61" s="4">
        <f>IFERROR(VLOOKUP("7-090101-9-F",data_code, 2,FALSE),0)</f>
        <v>1</v>
      </c>
      <c r="V61" s="32">
        <f t="shared" si="0"/>
        <v>1</v>
      </c>
      <c r="W61" s="4">
        <f t="shared" si="1"/>
        <v>7</v>
      </c>
      <c r="X61" s="38">
        <f t="shared" si="2"/>
        <v>8</v>
      </c>
    </row>
    <row r="62" spans="1:25">
      <c r="A62" s="83"/>
      <c r="B62" s="5" t="s">
        <v>9</v>
      </c>
      <c r="C62" s="6" t="s">
        <v>730</v>
      </c>
      <c r="D62" s="32">
        <f>IFERROR(VLOOKUP("7-090102-1-M",data_code, 2,FALSE),0)</f>
        <v>1</v>
      </c>
      <c r="E62" s="18">
        <f>IFERROR(VLOOKUP("7-090102-1-F",data_code, 2,FALSE),0)</f>
        <v>2</v>
      </c>
      <c r="F62" s="4">
        <f>IFERROR(VLOOKUP("7-090102-2-M",data_code, 2,FALSE),0)</f>
        <v>0</v>
      </c>
      <c r="G62" s="18">
        <f>IFERROR(VLOOKUP("7-090102-2-F",data_code, 2,FALSE),0)</f>
        <v>0</v>
      </c>
      <c r="H62" s="32">
        <f>IFERROR(VLOOKUP("7-090102-3-M",data_code, 2,FALSE),0)</f>
        <v>0</v>
      </c>
      <c r="I62" s="18">
        <f>IFERROR(VLOOKUP("7-090102-3-F",data_code, 2,FALSE),0)</f>
        <v>0</v>
      </c>
      <c r="J62" s="32">
        <f>IFERROR(VLOOKUP("7-090102-4-M",data_code, 2,FALSE),0)</f>
        <v>0</v>
      </c>
      <c r="K62" s="18">
        <f>IFERROR(VLOOKUP("7-090102-4-F",data_code, 2,FALSE),0)</f>
        <v>0</v>
      </c>
      <c r="L62" s="4">
        <f>IFERROR(VLOOKUP("7-090102-5-M",data_code, 2,FALSE),0)</f>
        <v>1</v>
      </c>
      <c r="M62" s="18">
        <f>IFERROR(VLOOKUP("7-090102-5-F",data_code, 2,FALSE),0)</f>
        <v>0</v>
      </c>
      <c r="N62" s="4">
        <f>IFERROR(VLOOKUP("7-090102-6-M",data_code, 2,FALSE),0)</f>
        <v>0</v>
      </c>
      <c r="O62" s="18">
        <f>IFERROR(VLOOKUP("7-090102-6-F",data_code, 2,FALSE),0)</f>
        <v>0</v>
      </c>
      <c r="P62" s="4">
        <f>IFERROR(VLOOKUP("7-090102-7-M",data_code, 2,FALSE),0)</f>
        <v>1</v>
      </c>
      <c r="Q62" s="18">
        <f>IFERROR(VLOOKUP("7-090102-7-F",data_code, 2,FALSE),0)</f>
        <v>1</v>
      </c>
      <c r="R62" s="4">
        <f>IFERROR(VLOOKUP("7-090102-8-M",data_code, 2,FALSE),0)</f>
        <v>0</v>
      </c>
      <c r="S62" s="18">
        <f>IFERROR(VLOOKUP("7-090102-8-F",data_code, 2,FALSE),0)</f>
        <v>0</v>
      </c>
      <c r="T62" s="4">
        <f>IFERROR(VLOOKUP("7-090102-9-M",data_code, 2,FALSE),0)</f>
        <v>0</v>
      </c>
      <c r="U62" s="4">
        <f>IFERROR(VLOOKUP("7-090102-9-F",data_code, 2,FALSE),0)</f>
        <v>0</v>
      </c>
      <c r="V62" s="32">
        <f t="shared" si="0"/>
        <v>3</v>
      </c>
      <c r="W62" s="4">
        <f t="shared" si="1"/>
        <v>3</v>
      </c>
      <c r="X62" s="38">
        <f t="shared" si="2"/>
        <v>6</v>
      </c>
    </row>
    <row r="63" spans="1:25">
      <c r="A63" s="83"/>
      <c r="B63" s="5">
        <v>11.0101</v>
      </c>
      <c r="C63" s="6" t="s">
        <v>110</v>
      </c>
      <c r="D63" s="32">
        <f>IFERROR(VLOOKUP("7-110101-1-M",data_code, 2,FALSE),0)</f>
        <v>6</v>
      </c>
      <c r="E63" s="18">
        <f>IFERROR(VLOOKUP("7-110101-1-F",data_code, 2,FALSE),0)</f>
        <v>11</v>
      </c>
      <c r="F63" s="4">
        <f>IFERROR(VLOOKUP("7-110101-2-M",data_code, 2,FALSE),0)</f>
        <v>0</v>
      </c>
      <c r="G63" s="18">
        <f>IFERROR(VLOOKUP("7-110101-2-F",data_code, 2,FALSE),0)</f>
        <v>0</v>
      </c>
      <c r="H63" s="32">
        <f>IFERROR(VLOOKUP("7-110101-3-M",data_code, 2,FALSE),0)</f>
        <v>0</v>
      </c>
      <c r="I63" s="18">
        <f>IFERROR(VLOOKUP("7-110101-3-F",data_code, 2,FALSE),0)</f>
        <v>0</v>
      </c>
      <c r="J63" s="32">
        <f>IFERROR(VLOOKUP("7-110101-4-M",data_code, 2,FALSE),0)</f>
        <v>0</v>
      </c>
      <c r="K63" s="18">
        <f>IFERROR(VLOOKUP("7-110101-4-F",data_code, 2,FALSE),0)</f>
        <v>0</v>
      </c>
      <c r="L63" s="4">
        <f>IFERROR(VLOOKUP("7-110101-5-M",data_code, 2,FALSE),0)</f>
        <v>0</v>
      </c>
      <c r="M63" s="18">
        <f>IFERROR(VLOOKUP("7-110101-5-F",data_code, 2,FALSE),0)</f>
        <v>0</v>
      </c>
      <c r="N63" s="4">
        <f>IFERROR(VLOOKUP("7-110101-6-M",data_code, 2,FALSE),0)</f>
        <v>0</v>
      </c>
      <c r="O63" s="18">
        <f>IFERROR(VLOOKUP("7-110101-6-F",data_code, 2,FALSE),0)</f>
        <v>0</v>
      </c>
      <c r="P63" s="4">
        <f>IFERROR(VLOOKUP("7-110101-7-M",data_code, 2,FALSE),0)</f>
        <v>2</v>
      </c>
      <c r="Q63" s="18">
        <f>IFERROR(VLOOKUP("7-110101-7-F",data_code, 2,FALSE),0)</f>
        <v>0</v>
      </c>
      <c r="R63" s="4">
        <f>IFERROR(VLOOKUP("7-110101-8-M",data_code, 2,FALSE),0)</f>
        <v>0</v>
      </c>
      <c r="S63" s="18">
        <f>IFERROR(VLOOKUP("7-110101-8-F",data_code, 2,FALSE),0)</f>
        <v>0</v>
      </c>
      <c r="T63" s="4">
        <f>IFERROR(VLOOKUP("7-110101-9-M",data_code, 2,FALSE),0)</f>
        <v>0</v>
      </c>
      <c r="U63" s="4">
        <f>IFERROR(VLOOKUP("7-110101-9-F",data_code, 2,FALSE),0)</f>
        <v>0</v>
      </c>
      <c r="V63" s="32">
        <f t="shared" si="0"/>
        <v>8</v>
      </c>
      <c r="W63" s="4">
        <f t="shared" si="1"/>
        <v>11</v>
      </c>
      <c r="X63" s="38">
        <f t="shared" si="2"/>
        <v>19</v>
      </c>
    </row>
    <row r="64" spans="1:25">
      <c r="A64" s="83"/>
      <c r="B64" s="5">
        <v>11.0701</v>
      </c>
      <c r="C64" s="6" t="s">
        <v>111</v>
      </c>
      <c r="D64" s="32">
        <f>IFERROR(VLOOKUP("7-110701-1-M",data_code, 2,FALSE),0)</f>
        <v>9</v>
      </c>
      <c r="E64" s="18">
        <f>IFERROR(VLOOKUP("7-110701-1-F",data_code, 2,FALSE),0)</f>
        <v>18</v>
      </c>
      <c r="F64" s="4">
        <f>IFERROR(VLOOKUP("7-110701-2-M",data_code, 2,FALSE),0)</f>
        <v>0</v>
      </c>
      <c r="G64" s="18">
        <f>IFERROR(VLOOKUP("7-110701-2-F",data_code, 2,FALSE),0)</f>
        <v>0</v>
      </c>
      <c r="H64" s="32">
        <f>IFERROR(VLOOKUP("7-110701-3-M",data_code, 2,FALSE),0)</f>
        <v>0</v>
      </c>
      <c r="I64" s="18">
        <f>IFERROR(VLOOKUP("7-110701-3-F",data_code, 2,FALSE),0)</f>
        <v>0</v>
      </c>
      <c r="J64" s="32">
        <f>IFERROR(VLOOKUP("7-110701-4-M",data_code, 2,FALSE),0)</f>
        <v>0</v>
      </c>
      <c r="K64" s="18">
        <f>IFERROR(VLOOKUP("7-110701-4-F",data_code, 2,FALSE),0)</f>
        <v>0</v>
      </c>
      <c r="L64" s="4">
        <f>IFERROR(VLOOKUP("7-110701-5-M",data_code, 2,FALSE),0)</f>
        <v>0</v>
      </c>
      <c r="M64" s="18">
        <f>IFERROR(VLOOKUP("7-110701-5-F",data_code, 2,FALSE),0)</f>
        <v>0</v>
      </c>
      <c r="N64" s="4">
        <f>IFERROR(VLOOKUP("7-110701-6-M",data_code, 2,FALSE),0)</f>
        <v>0</v>
      </c>
      <c r="O64" s="18">
        <f>IFERROR(VLOOKUP("7-110701-6-F",data_code, 2,FALSE),0)</f>
        <v>0</v>
      </c>
      <c r="P64" s="4">
        <f>IFERROR(VLOOKUP("7-110701-7-M",data_code, 2,FALSE),0)</f>
        <v>1</v>
      </c>
      <c r="Q64" s="18">
        <f>IFERROR(VLOOKUP("7-110701-7-F",data_code, 2,FALSE),0)</f>
        <v>0</v>
      </c>
      <c r="R64" s="4">
        <f>IFERROR(VLOOKUP("7-110701-8-M",data_code, 2,FALSE),0)</f>
        <v>0</v>
      </c>
      <c r="S64" s="18">
        <f>IFERROR(VLOOKUP("7-110701-8-F",data_code, 2,FALSE),0)</f>
        <v>0</v>
      </c>
      <c r="T64" s="4">
        <f>IFERROR(VLOOKUP("7-110701-9-M",data_code, 2,FALSE),0)</f>
        <v>1</v>
      </c>
      <c r="U64" s="4">
        <f>IFERROR(VLOOKUP("7-110701-9-F",data_code, 2,FALSE),0)</f>
        <v>0</v>
      </c>
      <c r="V64" s="32">
        <f t="shared" ref="V64:V115" si="20">SUMIF($D$2:$U$2,"Men",D64:U64)</f>
        <v>11</v>
      </c>
      <c r="W64" s="4">
        <f t="shared" ref="W64:W115" si="21">SUMIF($D$2:$U$2,"Women",D64:U64)</f>
        <v>18</v>
      </c>
      <c r="X64" s="38">
        <f t="shared" ref="X64:X115" si="22">SUM(V64:W64)</f>
        <v>29</v>
      </c>
    </row>
    <row r="65" spans="1:24">
      <c r="A65" s="83"/>
      <c r="B65" s="5">
        <v>13.030099999999999</v>
      </c>
      <c r="C65" s="6" t="s">
        <v>112</v>
      </c>
      <c r="D65" s="32">
        <f>IFERROR(VLOOKUP("7-130301-1-M",data_code, 2,FALSE),0)</f>
        <v>0</v>
      </c>
      <c r="E65" s="18">
        <f>IFERROR(VLOOKUP("7-130301-1-F",data_code, 2,FALSE),0)</f>
        <v>1</v>
      </c>
      <c r="F65" s="4">
        <f>IFERROR(VLOOKUP("7-130301-2-M",data_code, 2,FALSE),0)</f>
        <v>0</v>
      </c>
      <c r="G65" s="18">
        <f>IFERROR(VLOOKUP("7-130301-2-F",data_code, 2,FALSE),0)</f>
        <v>2</v>
      </c>
      <c r="H65" s="32">
        <f>IFERROR(VLOOKUP("7-130301-3-M",data_code, 2,FALSE),0)</f>
        <v>0</v>
      </c>
      <c r="I65" s="18">
        <f>IFERROR(VLOOKUP("7-130301-3-F",data_code, 2,FALSE),0)</f>
        <v>0</v>
      </c>
      <c r="J65" s="32">
        <f>IFERROR(VLOOKUP("7-130301-4-M",data_code, 2,FALSE),0)</f>
        <v>0</v>
      </c>
      <c r="K65" s="18">
        <f>IFERROR(VLOOKUP("7-130301-4-F",data_code, 2,FALSE),0)</f>
        <v>0</v>
      </c>
      <c r="L65" s="4">
        <f>IFERROR(VLOOKUP("7-130301-5-M",data_code, 2,FALSE),0)</f>
        <v>0</v>
      </c>
      <c r="M65" s="18">
        <f>IFERROR(VLOOKUP("7-130301-5-F",data_code, 2,FALSE),0)</f>
        <v>1</v>
      </c>
      <c r="N65" s="4">
        <f>IFERROR(VLOOKUP("7-130301-6-M",data_code, 2,FALSE),0)</f>
        <v>0</v>
      </c>
      <c r="O65" s="18">
        <f>IFERROR(VLOOKUP("7-130301-6-F",data_code, 2,FALSE),0)</f>
        <v>0</v>
      </c>
      <c r="P65" s="4">
        <f>IFERROR(VLOOKUP("7-130301-7-M",data_code, 2,FALSE),0)</f>
        <v>4</v>
      </c>
      <c r="Q65" s="18">
        <f>IFERROR(VLOOKUP("7-130301-7-F",data_code, 2,FALSE),0)</f>
        <v>18</v>
      </c>
      <c r="R65" s="4">
        <f>IFERROR(VLOOKUP("7-130301-8-M",data_code, 2,FALSE),0)</f>
        <v>0</v>
      </c>
      <c r="S65" s="18">
        <f>IFERROR(VLOOKUP("7-130301-8-F",data_code, 2,FALSE),0)</f>
        <v>1</v>
      </c>
      <c r="T65" s="4">
        <f>IFERROR(VLOOKUP("7-130301-9-M",data_code, 2,FALSE),0)</f>
        <v>2</v>
      </c>
      <c r="U65" s="4">
        <f>IFERROR(VLOOKUP("7-130301-9-F",data_code, 2,FALSE),0)</f>
        <v>5</v>
      </c>
      <c r="V65" s="32">
        <f t="shared" si="20"/>
        <v>6</v>
      </c>
      <c r="W65" s="4">
        <f t="shared" si="21"/>
        <v>28</v>
      </c>
      <c r="X65" s="38">
        <f t="shared" si="22"/>
        <v>34</v>
      </c>
    </row>
    <row r="66" spans="1:24">
      <c r="A66" s="83"/>
      <c r="B66" s="5">
        <v>13.040100000000001</v>
      </c>
      <c r="C66" s="6" t="s">
        <v>113</v>
      </c>
      <c r="D66" s="32">
        <f>IFERROR(VLOOKUP("7-130401-1-M",data_code, 2,FALSE),0)</f>
        <v>0</v>
      </c>
      <c r="E66" s="18">
        <f>IFERROR(VLOOKUP("7-130401-1-F",data_code, 2,FALSE),0)</f>
        <v>0</v>
      </c>
      <c r="F66" s="4">
        <f>IFERROR(VLOOKUP("7-130401-2-M",data_code, 2,FALSE),0)</f>
        <v>1</v>
      </c>
      <c r="G66" s="18">
        <f>IFERROR(VLOOKUP("7-130401-2-F",data_code, 2,FALSE),0)</f>
        <v>0</v>
      </c>
      <c r="H66" s="32">
        <f>IFERROR(VLOOKUP("7-130401-3-M",data_code, 2,FALSE),0)</f>
        <v>0</v>
      </c>
      <c r="I66" s="18">
        <f>IFERROR(VLOOKUP("7-130401-3-F",data_code, 2,FALSE),0)</f>
        <v>0</v>
      </c>
      <c r="J66" s="32">
        <f>IFERROR(VLOOKUP("7-130401-4-M",data_code, 2,FALSE),0)</f>
        <v>0</v>
      </c>
      <c r="K66" s="18">
        <f>IFERROR(VLOOKUP("7-130401-4-F",data_code, 2,FALSE),0)</f>
        <v>0</v>
      </c>
      <c r="L66" s="4">
        <f>IFERROR(VLOOKUP("7-130401-5-M",data_code, 2,FALSE),0)</f>
        <v>2</v>
      </c>
      <c r="M66" s="18">
        <f>IFERROR(VLOOKUP("7-130401-5-F",data_code, 2,FALSE),0)</f>
        <v>3</v>
      </c>
      <c r="N66" s="4">
        <f>IFERROR(VLOOKUP("7-130401-6-M",data_code, 2,FALSE),0)</f>
        <v>0</v>
      </c>
      <c r="O66" s="18">
        <f>IFERROR(VLOOKUP("7-130401-6-F",data_code, 2,FALSE),0)</f>
        <v>0</v>
      </c>
      <c r="P66" s="4">
        <f>IFERROR(VLOOKUP("7-130401-7-M",data_code, 2,FALSE),0)</f>
        <v>9</v>
      </c>
      <c r="Q66" s="18">
        <f>IFERROR(VLOOKUP("7-130401-7-F",data_code, 2,FALSE),0)</f>
        <v>10</v>
      </c>
      <c r="R66" s="4">
        <f>IFERROR(VLOOKUP("7-130401-8-M",data_code, 2,FALSE),0)</f>
        <v>1</v>
      </c>
      <c r="S66" s="18">
        <f>IFERROR(VLOOKUP("7-130401-8-F",data_code, 2,FALSE),0)</f>
        <v>1</v>
      </c>
      <c r="T66" s="4">
        <f>IFERROR(VLOOKUP("7-130401-9-M",data_code, 2,FALSE),0)</f>
        <v>7</v>
      </c>
      <c r="U66" s="4">
        <f>IFERROR(VLOOKUP("7-130401-9-F",data_code, 2,FALSE),0)</f>
        <v>26</v>
      </c>
      <c r="V66" s="32">
        <f t="shared" si="20"/>
        <v>20</v>
      </c>
      <c r="W66" s="4">
        <f t="shared" si="21"/>
        <v>40</v>
      </c>
      <c r="X66" s="38">
        <f t="shared" si="22"/>
        <v>60</v>
      </c>
    </row>
    <row r="67" spans="1:24">
      <c r="A67" s="83"/>
      <c r="B67" s="5">
        <v>13.0406</v>
      </c>
      <c r="C67" s="6" t="s">
        <v>114</v>
      </c>
      <c r="D67" s="32">
        <f>IFERROR(VLOOKUP("7-130406-1-M",data_code, 2,FALSE),0)</f>
        <v>0</v>
      </c>
      <c r="E67" s="18">
        <f>IFERROR(VLOOKUP("7-130406-1-F",data_code, 2,FALSE),0)</f>
        <v>0</v>
      </c>
      <c r="F67" s="4">
        <f>IFERROR(VLOOKUP("7-130406-2-M",data_code, 2,FALSE),0)</f>
        <v>0</v>
      </c>
      <c r="G67" s="18">
        <f>IFERROR(VLOOKUP("7-130406-2-F",data_code, 2,FALSE),0)</f>
        <v>0</v>
      </c>
      <c r="H67" s="32">
        <f>IFERROR(VLOOKUP("7-130406-3-M",data_code, 2,FALSE),0)</f>
        <v>0</v>
      </c>
      <c r="I67" s="18">
        <f>IFERROR(VLOOKUP("7-130406-3-F",data_code, 2,FALSE),0)</f>
        <v>0</v>
      </c>
      <c r="J67" s="32">
        <f>IFERROR(VLOOKUP("7-130406-4-M",data_code, 2,FALSE),0)</f>
        <v>0</v>
      </c>
      <c r="K67" s="18">
        <f>IFERROR(VLOOKUP("7-130406-4-F",data_code, 2,FALSE),0)</f>
        <v>0</v>
      </c>
      <c r="L67" s="4">
        <f>IFERROR(VLOOKUP("7-130406-5-M",data_code, 2,FALSE),0)</f>
        <v>1</v>
      </c>
      <c r="M67" s="18">
        <f>IFERROR(VLOOKUP("7-130406-5-F",data_code, 2,FALSE),0)</f>
        <v>2</v>
      </c>
      <c r="N67" s="4">
        <f>IFERROR(VLOOKUP("7-130406-6-M",data_code, 2,FALSE),0)</f>
        <v>0</v>
      </c>
      <c r="O67" s="18">
        <f>IFERROR(VLOOKUP("7-130406-6-F",data_code, 2,FALSE),0)</f>
        <v>0</v>
      </c>
      <c r="P67" s="4">
        <f>IFERROR(VLOOKUP("7-130406-7-M",data_code, 2,FALSE),0)</f>
        <v>0</v>
      </c>
      <c r="Q67" s="18">
        <f>IFERROR(VLOOKUP("7-130406-7-F",data_code, 2,FALSE),0)</f>
        <v>0</v>
      </c>
      <c r="R67" s="4">
        <f>IFERROR(VLOOKUP("7-130406-8-M",data_code, 2,FALSE),0)</f>
        <v>0</v>
      </c>
      <c r="S67" s="18">
        <f>IFERROR(VLOOKUP("7-130406-8-F",data_code, 2,FALSE),0)</f>
        <v>0</v>
      </c>
      <c r="T67" s="4">
        <f>IFERROR(VLOOKUP("7-130406-9-M",data_code, 2,FALSE),0)</f>
        <v>1</v>
      </c>
      <c r="U67" s="4">
        <f>IFERROR(VLOOKUP("7-130406-9-F",data_code, 2,FALSE),0)</f>
        <v>1</v>
      </c>
      <c r="V67" s="32">
        <f t="shared" si="20"/>
        <v>2</v>
      </c>
      <c r="W67" s="4">
        <f t="shared" si="21"/>
        <v>3</v>
      </c>
      <c r="X67" s="38">
        <f t="shared" si="22"/>
        <v>5</v>
      </c>
    </row>
    <row r="68" spans="1:24">
      <c r="A68" s="83"/>
      <c r="B68" s="5">
        <v>13.0501</v>
      </c>
      <c r="C68" s="6" t="s">
        <v>115</v>
      </c>
      <c r="D68" s="32">
        <f>IFERROR(VLOOKUP("7-130501-1-M",data_code, 2,FALSE),0)</f>
        <v>0</v>
      </c>
      <c r="E68" s="18">
        <f>IFERROR(VLOOKUP("7-130501-1-F",data_code, 2,FALSE),0)</f>
        <v>0</v>
      </c>
      <c r="F68" s="4">
        <f>IFERROR(VLOOKUP("7-130501-2-M",data_code, 2,FALSE),0)</f>
        <v>0</v>
      </c>
      <c r="G68" s="18">
        <f>IFERROR(VLOOKUP("7-130501-2-F",data_code, 2,FALSE),0)</f>
        <v>0</v>
      </c>
      <c r="H68" s="32">
        <f>IFERROR(VLOOKUP("7-130501-3-M",data_code, 2,FALSE),0)</f>
        <v>0</v>
      </c>
      <c r="I68" s="18">
        <f>IFERROR(VLOOKUP("7-130501-3-F",data_code, 2,FALSE),0)</f>
        <v>0</v>
      </c>
      <c r="J68" s="32">
        <f>IFERROR(VLOOKUP("7-130501-4-M",data_code, 2,FALSE),0)</f>
        <v>0</v>
      </c>
      <c r="K68" s="18">
        <f>IFERROR(VLOOKUP("7-130501-4-F",data_code, 2,FALSE),0)</f>
        <v>0</v>
      </c>
      <c r="L68" s="4">
        <f>IFERROR(VLOOKUP("7-130501-5-M",data_code, 2,FALSE),0)</f>
        <v>0</v>
      </c>
      <c r="M68" s="18">
        <f>IFERROR(VLOOKUP("7-130501-5-F",data_code, 2,FALSE),0)</f>
        <v>1</v>
      </c>
      <c r="N68" s="4">
        <f>IFERROR(VLOOKUP("7-130501-6-M",data_code, 2,FALSE),0)</f>
        <v>0</v>
      </c>
      <c r="O68" s="18">
        <f>IFERROR(VLOOKUP("7-130501-6-F",data_code, 2,FALSE),0)</f>
        <v>0</v>
      </c>
      <c r="P68" s="4">
        <f>IFERROR(VLOOKUP("7-130501-7-M",data_code, 2,FALSE),0)</f>
        <v>0</v>
      </c>
      <c r="Q68" s="18">
        <f>IFERROR(VLOOKUP("7-130501-7-F",data_code, 2,FALSE),0)</f>
        <v>2</v>
      </c>
      <c r="R68" s="4">
        <f>IFERROR(VLOOKUP("7-130501-8-M",data_code, 2,FALSE),0)</f>
        <v>0</v>
      </c>
      <c r="S68" s="18">
        <f>IFERROR(VLOOKUP("7-130501-8-F",data_code, 2,FALSE),0)</f>
        <v>0</v>
      </c>
      <c r="T68" s="4">
        <f>IFERROR(VLOOKUP("7-130501-9-M",data_code, 2,FALSE),0)</f>
        <v>0</v>
      </c>
      <c r="U68" s="4">
        <f>IFERROR(VLOOKUP("7-130501-9-F",data_code, 2,FALSE),0)</f>
        <v>1</v>
      </c>
      <c r="V68" s="32">
        <f t="shared" si="20"/>
        <v>0</v>
      </c>
      <c r="W68" s="4">
        <f t="shared" si="21"/>
        <v>4</v>
      </c>
      <c r="X68" s="38">
        <f t="shared" si="22"/>
        <v>4</v>
      </c>
    </row>
    <row r="69" spans="1:24">
      <c r="A69" s="83"/>
      <c r="B69" s="5" t="s">
        <v>409</v>
      </c>
      <c r="C69" s="6" t="s">
        <v>410</v>
      </c>
      <c r="D69" s="32">
        <f>IFERROR(VLOOKUP("7-131206-1-M",data_code, 2,FALSE),0)</f>
        <v>0</v>
      </c>
      <c r="E69" s="18">
        <f>IFERROR(VLOOKUP("7-131206-1-F",data_code, 2,FALSE),0)</f>
        <v>0</v>
      </c>
      <c r="F69" s="4">
        <f>IFERROR(VLOOKUP("7-131206-2-M",data_code, 2,FALSE),0)</f>
        <v>0</v>
      </c>
      <c r="G69" s="18">
        <f>IFERROR(VLOOKUP("7-131206-2-F",data_code, 2,FALSE),0)</f>
        <v>0</v>
      </c>
      <c r="H69" s="32">
        <f>IFERROR(VLOOKUP("7-131206-3-M",data_code, 2,FALSE),0)</f>
        <v>0</v>
      </c>
      <c r="I69" s="18">
        <f>IFERROR(VLOOKUP("7-131206-3-F",data_code, 2,FALSE),0)</f>
        <v>0</v>
      </c>
      <c r="J69" s="32">
        <f>IFERROR(VLOOKUP("7-131206-4-M",data_code, 2,FALSE),0)</f>
        <v>0</v>
      </c>
      <c r="K69" s="18">
        <f>IFERROR(VLOOKUP("7-131206-4-F",data_code, 2,FALSE),0)</f>
        <v>1</v>
      </c>
      <c r="L69" s="4">
        <f>IFERROR(VLOOKUP("7-131206-5-M",data_code, 2,FALSE),0)</f>
        <v>1</v>
      </c>
      <c r="M69" s="18">
        <f>IFERROR(VLOOKUP("7-131206-5-F",data_code, 2,FALSE),0)</f>
        <v>0</v>
      </c>
      <c r="N69" s="4">
        <f>IFERROR(VLOOKUP("7-131206-6-M",data_code, 2,FALSE),0)</f>
        <v>0</v>
      </c>
      <c r="O69" s="18">
        <f>IFERROR(VLOOKUP("7-131206-6-F",data_code, 2,FALSE),0)</f>
        <v>0</v>
      </c>
      <c r="P69" s="4">
        <f>IFERROR(VLOOKUP("7-131206-7-M",data_code, 2,FALSE),0)</f>
        <v>1</v>
      </c>
      <c r="Q69" s="18">
        <f>IFERROR(VLOOKUP("7-131206-7-F",data_code, 2,FALSE),0)</f>
        <v>2</v>
      </c>
      <c r="R69" s="4">
        <f>IFERROR(VLOOKUP("7-131206-8-M",data_code, 2,FALSE),0)</f>
        <v>0</v>
      </c>
      <c r="S69" s="18">
        <f>IFERROR(VLOOKUP("7-131206-8-F",data_code, 2,FALSE),0)</f>
        <v>0</v>
      </c>
      <c r="T69" s="4">
        <f>IFERROR(VLOOKUP("7-131206-9-M",data_code, 2,FALSE),0)</f>
        <v>0</v>
      </c>
      <c r="U69" s="4">
        <f>IFERROR(VLOOKUP("7-131206-9-F",data_code, 2,FALSE),0)</f>
        <v>2</v>
      </c>
      <c r="V69" s="32">
        <f t="shared" si="20"/>
        <v>2</v>
      </c>
      <c r="W69" s="4">
        <f t="shared" si="21"/>
        <v>5</v>
      </c>
      <c r="X69" s="38">
        <f t="shared" si="22"/>
        <v>7</v>
      </c>
    </row>
    <row r="70" spans="1:24">
      <c r="A70" s="83"/>
      <c r="B70" s="5">
        <v>13.9999</v>
      </c>
      <c r="C70" s="6" t="s">
        <v>116</v>
      </c>
      <c r="D70" s="32">
        <f>IFERROR(VLOOKUP("7-139999-1-M",data_code, 2,FALSE),0)</f>
        <v>0</v>
      </c>
      <c r="E70" s="18">
        <f>IFERROR(VLOOKUP("7-139999-1-F",data_code, 2,FALSE),0)</f>
        <v>0</v>
      </c>
      <c r="F70" s="4">
        <f>IFERROR(VLOOKUP("7-139999-2-M",data_code, 2,FALSE),0)</f>
        <v>0</v>
      </c>
      <c r="G70" s="18">
        <f>IFERROR(VLOOKUP("7-139999-2-F",data_code, 2,FALSE),0)</f>
        <v>0</v>
      </c>
      <c r="H70" s="32">
        <f>IFERROR(VLOOKUP("7-139999-3-M",data_code, 2,FALSE),0)</f>
        <v>0</v>
      </c>
      <c r="I70" s="18">
        <f>IFERROR(VLOOKUP("7-139999-3-F",data_code, 2,FALSE),0)</f>
        <v>0</v>
      </c>
      <c r="J70" s="32">
        <f>IFERROR(VLOOKUP("7-139999-4-M",data_code, 2,FALSE),0)</f>
        <v>0</v>
      </c>
      <c r="K70" s="18">
        <f>IFERROR(VLOOKUP("7-139999-4-F",data_code, 2,FALSE),0)</f>
        <v>1</v>
      </c>
      <c r="L70" s="4">
        <f>IFERROR(VLOOKUP("7-139999-5-M",data_code, 2,FALSE),0)</f>
        <v>0</v>
      </c>
      <c r="M70" s="18">
        <f>IFERROR(VLOOKUP("7-139999-5-F",data_code, 2,FALSE),0)</f>
        <v>3</v>
      </c>
      <c r="N70" s="4">
        <f>IFERROR(VLOOKUP("7-139999-6-M",data_code, 2,FALSE),0)</f>
        <v>0</v>
      </c>
      <c r="O70" s="18">
        <f>IFERROR(VLOOKUP("7-139999-6-F",data_code, 2,FALSE),0)</f>
        <v>0</v>
      </c>
      <c r="P70" s="4">
        <f>IFERROR(VLOOKUP("7-139999-7-M",data_code, 2,FALSE),0)</f>
        <v>0</v>
      </c>
      <c r="Q70" s="18">
        <f>IFERROR(VLOOKUP("7-139999-7-F",data_code, 2,FALSE),0)</f>
        <v>3</v>
      </c>
      <c r="R70" s="4">
        <f>IFERROR(VLOOKUP("7-139999-8-M",data_code, 2,FALSE),0)</f>
        <v>0</v>
      </c>
      <c r="S70" s="18">
        <f>IFERROR(VLOOKUP("7-139999-8-F",data_code, 2,FALSE),0)</f>
        <v>0</v>
      </c>
      <c r="T70" s="4">
        <f>IFERROR(VLOOKUP("7-139999-9-M",data_code, 2,FALSE),0)</f>
        <v>0</v>
      </c>
      <c r="U70" s="4">
        <f>IFERROR(VLOOKUP("7-139999-9-F",data_code, 2,FALSE),0)</f>
        <v>0</v>
      </c>
      <c r="V70" s="32">
        <f t="shared" si="20"/>
        <v>0</v>
      </c>
      <c r="W70" s="4">
        <f t="shared" si="21"/>
        <v>7</v>
      </c>
      <c r="X70" s="38">
        <f t="shared" si="22"/>
        <v>7</v>
      </c>
    </row>
    <row r="71" spans="1:24">
      <c r="A71" s="83"/>
      <c r="B71" s="5">
        <v>14.0801</v>
      </c>
      <c r="C71" s="6" t="s">
        <v>117</v>
      </c>
      <c r="D71" s="32">
        <f>IFERROR(VLOOKUP("7-140801-1-M",data_code, 2,FALSE),0)</f>
        <v>25</v>
      </c>
      <c r="E71" s="18">
        <f>IFERROR(VLOOKUP("7-140801-1-F",data_code, 2,FALSE),0)</f>
        <v>8</v>
      </c>
      <c r="F71" s="4">
        <f>IFERROR(VLOOKUP("7-140801-2-M",data_code, 2,FALSE),0)</f>
        <v>0</v>
      </c>
      <c r="G71" s="18">
        <f>IFERROR(VLOOKUP("7-140801-2-F",data_code, 2,FALSE),0)</f>
        <v>0</v>
      </c>
      <c r="H71" s="32">
        <f>IFERROR(VLOOKUP("7-140801-3-M",data_code, 2,FALSE),0)</f>
        <v>0</v>
      </c>
      <c r="I71" s="18">
        <f>IFERROR(VLOOKUP("7-140801-3-F",data_code, 2,FALSE),0)</f>
        <v>0</v>
      </c>
      <c r="J71" s="32">
        <f>IFERROR(VLOOKUP("7-140801-4-M",data_code, 2,FALSE),0)</f>
        <v>0</v>
      </c>
      <c r="K71" s="18">
        <f>IFERROR(VLOOKUP("7-140801-4-F",data_code, 2,FALSE),0)</f>
        <v>0</v>
      </c>
      <c r="L71" s="4">
        <f>IFERROR(VLOOKUP("7-140801-5-M",data_code, 2,FALSE),0)</f>
        <v>0</v>
      </c>
      <c r="M71" s="18">
        <f>IFERROR(VLOOKUP("7-140801-5-F",data_code, 2,FALSE),0)</f>
        <v>0</v>
      </c>
      <c r="N71" s="4">
        <f>IFERROR(VLOOKUP("7-140801-6-M",data_code, 2,FALSE),0)</f>
        <v>0</v>
      </c>
      <c r="O71" s="18">
        <f>IFERROR(VLOOKUP("7-140801-6-F",data_code, 2,FALSE),0)</f>
        <v>0</v>
      </c>
      <c r="P71" s="4">
        <f>IFERROR(VLOOKUP("7-140801-7-M",data_code, 2,FALSE),0)</f>
        <v>4</v>
      </c>
      <c r="Q71" s="18">
        <f>IFERROR(VLOOKUP("7-140801-7-F",data_code, 2,FALSE),0)</f>
        <v>0</v>
      </c>
      <c r="R71" s="4">
        <f>IFERROR(VLOOKUP("7-140801-8-M",data_code, 2,FALSE),0)</f>
        <v>0</v>
      </c>
      <c r="S71" s="18">
        <f>IFERROR(VLOOKUP("7-140801-8-F",data_code, 2,FALSE),0)</f>
        <v>0</v>
      </c>
      <c r="T71" s="4">
        <f>IFERROR(VLOOKUP("7-140801-9-M",data_code, 2,FALSE),0)</f>
        <v>0</v>
      </c>
      <c r="U71" s="4">
        <f>IFERROR(VLOOKUP("7-140801-9-F",data_code, 2,FALSE),0)</f>
        <v>0</v>
      </c>
      <c r="V71" s="32">
        <f t="shared" si="20"/>
        <v>29</v>
      </c>
      <c r="W71" s="4">
        <f t="shared" si="21"/>
        <v>8</v>
      </c>
      <c r="X71" s="38">
        <f t="shared" si="22"/>
        <v>37</v>
      </c>
    </row>
    <row r="72" spans="1:24">
      <c r="A72" s="83"/>
      <c r="B72" s="7">
        <v>14.100099999999999</v>
      </c>
      <c r="C72" s="6" t="s">
        <v>759</v>
      </c>
      <c r="D72" s="32">
        <f>IFERROR(VLOOKUP("7-141001-1-M",data_code, 2,FALSE),0)</f>
        <v>0</v>
      </c>
      <c r="E72" s="18">
        <f>IFERROR(VLOOKUP("7-141001-1-F",data_code, 2,FALSE),0)</f>
        <v>0</v>
      </c>
      <c r="F72" s="4">
        <f>IFERROR(VLOOKUP("7-141001-2-M",data_code, 2,FALSE),0)</f>
        <v>0</v>
      </c>
      <c r="G72" s="18">
        <f>IFERROR(VLOOKUP("7-141001-2-F",data_code, 2,FALSE),0)</f>
        <v>0</v>
      </c>
      <c r="H72" s="32">
        <f>IFERROR(VLOOKUP("7-141001-3-M",data_code, 2,FALSE),0)</f>
        <v>0</v>
      </c>
      <c r="I72" s="18">
        <f>IFERROR(VLOOKUP("7-141001-3-F",data_code, 2,FALSE),0)</f>
        <v>0</v>
      </c>
      <c r="J72" s="32">
        <f>IFERROR(VLOOKUP("7-141001-4-M",data_code, 2,FALSE),0)</f>
        <v>0</v>
      </c>
      <c r="K72" s="18">
        <f>IFERROR(VLOOKUP("7-141001-4-F",data_code, 2,FALSE),0)</f>
        <v>0</v>
      </c>
      <c r="L72" s="4">
        <f>IFERROR(VLOOKUP("7-141001-5-M",data_code, 2,FALSE),0)</f>
        <v>0</v>
      </c>
      <c r="M72" s="18">
        <f>IFERROR(VLOOKUP("7-141001-5-F",data_code, 2,FALSE),0)</f>
        <v>0</v>
      </c>
      <c r="N72" s="4">
        <f>IFERROR(VLOOKUP("7-141001-6-M",data_code, 2,FALSE),0)</f>
        <v>0</v>
      </c>
      <c r="O72" s="18">
        <f>IFERROR(VLOOKUP("7-141001-6-F",data_code, 2,FALSE),0)</f>
        <v>0</v>
      </c>
      <c r="P72" s="4">
        <f>IFERROR(VLOOKUP("7-141001-7-M",data_code, 2,FALSE),0)</f>
        <v>1</v>
      </c>
      <c r="Q72" s="18">
        <f>IFERROR(VLOOKUP("7-141001-7-F",data_code, 2,FALSE),0)</f>
        <v>0</v>
      </c>
      <c r="R72" s="4">
        <f>IFERROR(VLOOKUP("7-141001-8-M",data_code, 2,FALSE),0)</f>
        <v>0</v>
      </c>
      <c r="S72" s="18">
        <f>IFERROR(VLOOKUP("7-141001-8-F",data_code, 2,FALSE),0)</f>
        <v>0</v>
      </c>
      <c r="T72" s="4">
        <f>IFERROR(VLOOKUP("7-141001-9-M",data_code, 2,FALSE),0)</f>
        <v>0</v>
      </c>
      <c r="U72" s="4">
        <f>IFERROR(VLOOKUP("7-141001-9-F",data_code, 2,FALSE),0)</f>
        <v>0</v>
      </c>
      <c r="V72" s="32">
        <f t="shared" si="20"/>
        <v>1</v>
      </c>
      <c r="W72" s="4">
        <f t="shared" si="21"/>
        <v>0</v>
      </c>
      <c r="X72" s="38">
        <f t="shared" si="22"/>
        <v>1</v>
      </c>
    </row>
    <row r="73" spans="1:24">
      <c r="A73" s="83"/>
      <c r="B73" s="5">
        <v>14.190099999999999</v>
      </c>
      <c r="C73" s="6" t="s">
        <v>119</v>
      </c>
      <c r="D73" s="32">
        <f>IFERROR(VLOOKUP("7-141901-1-M",data_code, 2,FALSE),0)</f>
        <v>17</v>
      </c>
      <c r="E73" s="18">
        <f>IFERROR(VLOOKUP("7-141901-1-F",data_code, 2,FALSE),0)</f>
        <v>4</v>
      </c>
      <c r="F73" s="4">
        <f>IFERROR(VLOOKUP("7-141901-2-M",data_code, 2,FALSE),0)</f>
        <v>0</v>
      </c>
      <c r="G73" s="18">
        <f>IFERROR(VLOOKUP("7-141901-2-F",data_code, 2,FALSE),0)</f>
        <v>0</v>
      </c>
      <c r="H73" s="32">
        <f>IFERROR(VLOOKUP("7-141901-3-M",data_code, 2,FALSE),0)</f>
        <v>0</v>
      </c>
      <c r="I73" s="18">
        <f>IFERROR(VLOOKUP("7-141901-3-F",data_code, 2,FALSE),0)</f>
        <v>0</v>
      </c>
      <c r="J73" s="32">
        <f>IFERROR(VLOOKUP("7-141901-4-M",data_code, 2,FALSE),0)</f>
        <v>0</v>
      </c>
      <c r="K73" s="18">
        <f>IFERROR(VLOOKUP("7-141901-4-F",data_code, 2,FALSE),0)</f>
        <v>0</v>
      </c>
      <c r="L73" s="4">
        <f>IFERROR(VLOOKUP("7-141901-5-M",data_code, 2,FALSE),0)</f>
        <v>0</v>
      </c>
      <c r="M73" s="18">
        <f>IFERROR(VLOOKUP("7-141901-5-F",data_code, 2,FALSE),0)</f>
        <v>0</v>
      </c>
      <c r="N73" s="4">
        <f>IFERROR(VLOOKUP("7-141901-6-M",data_code, 2,FALSE),0)</f>
        <v>0</v>
      </c>
      <c r="O73" s="18">
        <f>IFERROR(VLOOKUP("7-141901-6-F",data_code, 2,FALSE),0)</f>
        <v>0</v>
      </c>
      <c r="P73" s="4">
        <f>IFERROR(VLOOKUP("7-141901-7-M",data_code, 2,FALSE),0)</f>
        <v>1</v>
      </c>
      <c r="Q73" s="18">
        <f>IFERROR(VLOOKUP("7-141901-7-F",data_code, 2,FALSE),0)</f>
        <v>0</v>
      </c>
      <c r="R73" s="4">
        <f>IFERROR(VLOOKUP("7-141901-8-M",data_code, 2,FALSE),0)</f>
        <v>0</v>
      </c>
      <c r="S73" s="18">
        <f>IFERROR(VLOOKUP("7-141901-8-F",data_code, 2,FALSE),0)</f>
        <v>0</v>
      </c>
      <c r="T73" s="4">
        <f>IFERROR(VLOOKUP("7-141901-9-M",data_code, 2,FALSE),0)</f>
        <v>0</v>
      </c>
      <c r="U73" s="4">
        <f>IFERROR(VLOOKUP("7-141901-9-F",data_code, 2,FALSE),0)</f>
        <v>0</v>
      </c>
      <c r="V73" s="32">
        <f t="shared" si="20"/>
        <v>18</v>
      </c>
      <c r="W73" s="4">
        <f t="shared" si="21"/>
        <v>4</v>
      </c>
      <c r="X73" s="38">
        <f t="shared" si="22"/>
        <v>22</v>
      </c>
    </row>
    <row r="74" spans="1:24">
      <c r="A74" s="83"/>
      <c r="B74" s="5">
        <v>14.350099999999999</v>
      </c>
      <c r="C74" s="6" t="s">
        <v>120</v>
      </c>
      <c r="D74" s="32">
        <f>IFERROR(VLOOKUP("7-143501-1-M",data_code, 2,FALSE),0)</f>
        <v>47</v>
      </c>
      <c r="E74" s="18">
        <f>IFERROR(VLOOKUP("7-143501-1-F",data_code, 2,FALSE),0)</f>
        <v>7</v>
      </c>
      <c r="F74" s="4">
        <f>IFERROR(VLOOKUP("7-143501-2-M",data_code, 2,FALSE),0)</f>
        <v>0</v>
      </c>
      <c r="G74" s="18">
        <f>IFERROR(VLOOKUP("7-143501-2-F",data_code, 2,FALSE),0)</f>
        <v>0</v>
      </c>
      <c r="H74" s="32">
        <f>IFERROR(VLOOKUP("7-143501-3-M",data_code, 2,FALSE),0)</f>
        <v>0</v>
      </c>
      <c r="I74" s="18">
        <f>IFERROR(VLOOKUP("7-143501-3-F",data_code, 2,FALSE),0)</f>
        <v>0</v>
      </c>
      <c r="J74" s="32">
        <f>IFERROR(VLOOKUP("7-143501-4-M",data_code, 2,FALSE),0)</f>
        <v>0</v>
      </c>
      <c r="K74" s="18">
        <f>IFERROR(VLOOKUP("7-143501-4-F",data_code, 2,FALSE),0)</f>
        <v>0</v>
      </c>
      <c r="L74" s="4">
        <f>IFERROR(VLOOKUP("7-143501-5-M",data_code, 2,FALSE),0)</f>
        <v>0</v>
      </c>
      <c r="M74" s="18">
        <f>IFERROR(VLOOKUP("7-143501-5-F",data_code, 2,FALSE),0)</f>
        <v>0</v>
      </c>
      <c r="N74" s="4">
        <f>IFERROR(VLOOKUP("7-143501-6-M",data_code, 2,FALSE),0)</f>
        <v>0</v>
      </c>
      <c r="O74" s="18">
        <f>IFERROR(VLOOKUP("7-143501-6-F",data_code, 2,FALSE),0)</f>
        <v>0</v>
      </c>
      <c r="P74" s="4">
        <f>IFERROR(VLOOKUP("7-143501-7-M",data_code, 2,FALSE),0)</f>
        <v>0</v>
      </c>
      <c r="Q74" s="18">
        <f>IFERROR(VLOOKUP("7-143501-7-F",data_code, 2,FALSE),0)</f>
        <v>0</v>
      </c>
      <c r="R74" s="4">
        <f>IFERROR(VLOOKUP("7-143501-8-M",data_code, 2,FALSE),0)</f>
        <v>0</v>
      </c>
      <c r="S74" s="18">
        <f>IFERROR(VLOOKUP("7-143501-8-F",data_code, 2,FALSE),0)</f>
        <v>0</v>
      </c>
      <c r="T74" s="4">
        <f>IFERROR(VLOOKUP("7-143501-9-M",data_code, 2,FALSE),0)</f>
        <v>0</v>
      </c>
      <c r="U74" s="4">
        <f>IFERROR(VLOOKUP("7-143501-9-F",data_code, 2,FALSE),0)</f>
        <v>0</v>
      </c>
      <c r="V74" s="32">
        <f t="shared" si="20"/>
        <v>47</v>
      </c>
      <c r="W74" s="4">
        <f t="shared" si="21"/>
        <v>7</v>
      </c>
      <c r="X74" s="38">
        <f t="shared" si="22"/>
        <v>54</v>
      </c>
    </row>
    <row r="75" spans="1:24">
      <c r="A75" s="83"/>
      <c r="B75" s="5" t="s">
        <v>411</v>
      </c>
      <c r="C75" s="6" t="s">
        <v>118</v>
      </c>
      <c r="D75" s="32">
        <f>IFERROR(VLOOKUP("7-144701-1-M",data_code, 2,FALSE),0)</f>
        <v>12</v>
      </c>
      <c r="E75" s="18">
        <f>IFERROR(VLOOKUP("7-144701-1-F",data_code, 2,FALSE),0)</f>
        <v>7</v>
      </c>
      <c r="F75" s="4">
        <f>IFERROR(VLOOKUP("7-144701-2-M",data_code, 2,FALSE),0)</f>
        <v>0</v>
      </c>
      <c r="G75" s="18">
        <f>IFERROR(VLOOKUP("7-144701-2-F",data_code, 2,FALSE),0)</f>
        <v>0</v>
      </c>
      <c r="H75" s="32">
        <f>IFERROR(VLOOKUP("7-144701-3-M",data_code, 2,FALSE),0)</f>
        <v>0</v>
      </c>
      <c r="I75" s="18">
        <f>IFERROR(VLOOKUP("7-144701-3-F",data_code, 2,FALSE),0)</f>
        <v>0</v>
      </c>
      <c r="J75" s="32">
        <f>IFERROR(VLOOKUP("7-144701-4-M",data_code, 2,FALSE),0)</f>
        <v>1</v>
      </c>
      <c r="K75" s="18">
        <f>IFERROR(VLOOKUP("7-144701-4-F",data_code, 2,FALSE),0)</f>
        <v>0</v>
      </c>
      <c r="L75" s="4">
        <f>IFERROR(VLOOKUP("7-144701-5-M",data_code, 2,FALSE),0)</f>
        <v>0</v>
      </c>
      <c r="M75" s="18">
        <f>IFERROR(VLOOKUP("7-144701-5-F",data_code, 2,FALSE),0)</f>
        <v>0</v>
      </c>
      <c r="N75" s="4">
        <f>IFERROR(VLOOKUP("7-144701-6-M",data_code, 2,FALSE),0)</f>
        <v>0</v>
      </c>
      <c r="O75" s="18">
        <f>IFERROR(VLOOKUP("7-144701-6-F",data_code, 2,FALSE),0)</f>
        <v>0</v>
      </c>
      <c r="P75" s="4">
        <f>IFERROR(VLOOKUP("7-144701-7-M",data_code, 2,FALSE),0)</f>
        <v>1</v>
      </c>
      <c r="Q75" s="18">
        <f>IFERROR(VLOOKUP("7-144701-7-F",data_code, 2,FALSE),0)</f>
        <v>0</v>
      </c>
      <c r="R75" s="4">
        <f>IFERROR(VLOOKUP("7-144701-8-M",data_code, 2,FALSE),0)</f>
        <v>0</v>
      </c>
      <c r="S75" s="18">
        <f>IFERROR(VLOOKUP("7-144701-8-F",data_code, 2,FALSE),0)</f>
        <v>0</v>
      </c>
      <c r="T75" s="4">
        <f>IFERROR(VLOOKUP("7-144701-9-M",data_code, 2,FALSE),0)</f>
        <v>0</v>
      </c>
      <c r="U75" s="4">
        <f>IFERROR(VLOOKUP("7-144701-9-F",data_code, 2,FALSE),0)</f>
        <v>0</v>
      </c>
      <c r="V75" s="32">
        <f t="shared" ref="V75" si="23">SUMIF($D$2:$U$2,"Men",D75:U75)</f>
        <v>14</v>
      </c>
      <c r="W75" s="4">
        <f t="shared" ref="W75" si="24">SUMIF($D$2:$U$2,"Women",D75:U75)</f>
        <v>7</v>
      </c>
      <c r="X75" s="38">
        <f t="shared" si="22"/>
        <v>21</v>
      </c>
    </row>
    <row r="76" spans="1:24">
      <c r="A76" s="83"/>
      <c r="B76" s="5">
        <v>23.010100000000001</v>
      </c>
      <c r="C76" s="6" t="s">
        <v>121</v>
      </c>
      <c r="D76" s="32">
        <f>IFERROR(VLOOKUP("7-230101-1-M",data_code, 2,FALSE),0)</f>
        <v>1</v>
      </c>
      <c r="E76" s="18">
        <f>IFERROR(VLOOKUP("7-230101-1-F",data_code, 2,FALSE),0)</f>
        <v>0</v>
      </c>
      <c r="F76" s="4">
        <f>IFERROR(VLOOKUP("7-230101-2-M",data_code, 2,FALSE),0)</f>
        <v>0</v>
      </c>
      <c r="G76" s="18">
        <f>IFERROR(VLOOKUP("7-230101-2-F",data_code, 2,FALSE),0)</f>
        <v>0</v>
      </c>
      <c r="H76" s="32">
        <f>IFERROR(VLOOKUP("7-230101-3-M",data_code, 2,FALSE),0)</f>
        <v>0</v>
      </c>
      <c r="I76" s="18">
        <f>IFERROR(VLOOKUP("7-230101-3-F",data_code, 2,FALSE),0)</f>
        <v>0</v>
      </c>
      <c r="J76" s="32">
        <f>IFERROR(VLOOKUP("7-230101-4-M",data_code, 2,FALSE),0)</f>
        <v>0</v>
      </c>
      <c r="K76" s="18">
        <f>IFERROR(VLOOKUP("7-230101-4-F",data_code, 2,FALSE),0)</f>
        <v>0</v>
      </c>
      <c r="L76" s="4">
        <f>IFERROR(VLOOKUP("7-230101-5-M",data_code, 2,FALSE),0)</f>
        <v>0</v>
      </c>
      <c r="M76" s="18">
        <f>IFERROR(VLOOKUP("7-230101-5-F",data_code, 2,FALSE),0)</f>
        <v>1</v>
      </c>
      <c r="N76" s="4">
        <f>IFERROR(VLOOKUP("7-230101-6-M",data_code, 2,FALSE),0)</f>
        <v>1</v>
      </c>
      <c r="O76" s="18">
        <f>IFERROR(VLOOKUP("7-230101-6-F",data_code, 2,FALSE),0)</f>
        <v>0</v>
      </c>
      <c r="P76" s="4">
        <f>IFERROR(VLOOKUP("7-230101-7-M",data_code, 2,FALSE),0)</f>
        <v>1</v>
      </c>
      <c r="Q76" s="18">
        <f>IFERROR(VLOOKUP("7-230101-7-F",data_code, 2,FALSE),0)</f>
        <v>4</v>
      </c>
      <c r="R76" s="4">
        <f>IFERROR(VLOOKUP("7-230101-8-M",data_code, 2,FALSE),0)</f>
        <v>0</v>
      </c>
      <c r="S76" s="18">
        <f>IFERROR(VLOOKUP("7-230101-8-F",data_code, 2,FALSE),0)</f>
        <v>1</v>
      </c>
      <c r="T76" s="4">
        <f>IFERROR(VLOOKUP("7-230101-9-M",data_code, 2,FALSE),0)</f>
        <v>0</v>
      </c>
      <c r="U76" s="4">
        <f>IFERROR(VLOOKUP("7-230101-9-F",data_code, 2,FALSE),0)</f>
        <v>1</v>
      </c>
      <c r="V76" s="32">
        <f t="shared" si="20"/>
        <v>3</v>
      </c>
      <c r="W76" s="4">
        <f t="shared" si="21"/>
        <v>7</v>
      </c>
      <c r="X76" s="38">
        <f t="shared" si="22"/>
        <v>10</v>
      </c>
    </row>
    <row r="77" spans="1:24">
      <c r="A77" s="83"/>
      <c r="B77" s="5">
        <v>26.010100000000001</v>
      </c>
      <c r="C77" s="6" t="s">
        <v>123</v>
      </c>
      <c r="D77" s="32">
        <f>IFERROR(VLOOKUP("7-260101-1-M",data_code, 2,FALSE),0)</f>
        <v>2</v>
      </c>
      <c r="E77" s="18">
        <f>IFERROR(VLOOKUP("7-260101-1-F",data_code, 2,FALSE),0)</f>
        <v>5</v>
      </c>
      <c r="F77" s="4">
        <f>IFERROR(VLOOKUP("7-260101-2-M",data_code, 2,FALSE),0)</f>
        <v>0</v>
      </c>
      <c r="G77" s="18">
        <f>IFERROR(VLOOKUP("7-260101-2-F",data_code, 2,FALSE),0)</f>
        <v>1</v>
      </c>
      <c r="H77" s="32">
        <f>IFERROR(VLOOKUP("7-260101-3-M",data_code, 2,FALSE),0)</f>
        <v>0</v>
      </c>
      <c r="I77" s="18">
        <f>IFERROR(VLOOKUP("7-260101-3-F",data_code, 2,FALSE),0)</f>
        <v>1</v>
      </c>
      <c r="J77" s="32">
        <f>IFERROR(VLOOKUP("7-260101-4-M",data_code, 2,FALSE),0)</f>
        <v>0</v>
      </c>
      <c r="K77" s="18">
        <f>IFERROR(VLOOKUP("7-260101-4-F",data_code, 2,FALSE),0)</f>
        <v>0</v>
      </c>
      <c r="L77" s="4">
        <f>IFERROR(VLOOKUP("7-260101-5-M",data_code, 2,FALSE),0)</f>
        <v>0</v>
      </c>
      <c r="M77" s="18">
        <f>IFERROR(VLOOKUP("7-260101-5-F",data_code, 2,FALSE),0)</f>
        <v>0</v>
      </c>
      <c r="N77" s="4">
        <f>IFERROR(VLOOKUP("7-260101-6-M",data_code, 2,FALSE),0)</f>
        <v>0</v>
      </c>
      <c r="O77" s="18">
        <f>IFERROR(VLOOKUP("7-260101-6-F",data_code, 2,FALSE),0)</f>
        <v>0</v>
      </c>
      <c r="P77" s="4">
        <f>IFERROR(VLOOKUP("7-260101-7-M",data_code, 2,FALSE),0)</f>
        <v>1</v>
      </c>
      <c r="Q77" s="18">
        <f>IFERROR(VLOOKUP("7-260101-7-F",data_code, 2,FALSE),0)</f>
        <v>5</v>
      </c>
      <c r="R77" s="4">
        <f>IFERROR(VLOOKUP("7-260101-8-M",data_code, 2,FALSE),0)</f>
        <v>0</v>
      </c>
      <c r="S77" s="18">
        <f>IFERROR(VLOOKUP("7-260101-8-F",data_code, 2,FALSE),0)</f>
        <v>0</v>
      </c>
      <c r="T77" s="4">
        <f>IFERROR(VLOOKUP("7-260101-9-M",data_code, 2,FALSE),0)</f>
        <v>0</v>
      </c>
      <c r="U77" s="4">
        <f>IFERROR(VLOOKUP("7-260101-9-F",data_code, 2,FALSE),0)</f>
        <v>1</v>
      </c>
      <c r="V77" s="32">
        <f t="shared" si="20"/>
        <v>3</v>
      </c>
      <c r="W77" s="4">
        <f t="shared" si="21"/>
        <v>13</v>
      </c>
      <c r="X77" s="38">
        <f t="shared" si="22"/>
        <v>16</v>
      </c>
    </row>
    <row r="78" spans="1:24">
      <c r="A78" s="83"/>
      <c r="B78" s="5">
        <v>27.010100000000001</v>
      </c>
      <c r="C78" s="6" t="s">
        <v>122</v>
      </c>
      <c r="D78" s="32">
        <f>IFERROR(VLOOKUP("7-270101-1-M",data_code, 2,FALSE),0)</f>
        <v>2</v>
      </c>
      <c r="E78" s="18">
        <f>IFERROR(VLOOKUP("7-270101-1-F",data_code, 2,FALSE),0)</f>
        <v>3</v>
      </c>
      <c r="F78" s="4">
        <f>IFERROR(VLOOKUP("7-270101-2-M",data_code, 2,FALSE),0)</f>
        <v>0</v>
      </c>
      <c r="G78" s="18">
        <f>IFERROR(VLOOKUP("7-270101-2-F",data_code, 2,FALSE),0)</f>
        <v>0</v>
      </c>
      <c r="H78" s="32">
        <f>IFERROR(VLOOKUP("7-270101-3-M",data_code, 2,FALSE),0)</f>
        <v>0</v>
      </c>
      <c r="I78" s="18">
        <f>IFERROR(VLOOKUP("7-270101-3-F",data_code, 2,FALSE),0)</f>
        <v>0</v>
      </c>
      <c r="J78" s="32">
        <f>IFERROR(VLOOKUP("7-270101-4-M",data_code, 2,FALSE),0)</f>
        <v>0</v>
      </c>
      <c r="K78" s="18">
        <f>IFERROR(VLOOKUP("7-270101-4-F",data_code, 2,FALSE),0)</f>
        <v>0</v>
      </c>
      <c r="L78" s="4">
        <f>IFERROR(VLOOKUP("7-270101-5-M",data_code, 2,FALSE),0)</f>
        <v>0</v>
      </c>
      <c r="M78" s="18">
        <f>IFERROR(VLOOKUP("7-270101-5-F",data_code, 2,FALSE),0)</f>
        <v>0</v>
      </c>
      <c r="N78" s="4">
        <f>IFERROR(VLOOKUP("7-270101-6-M",data_code, 2,FALSE),0)</f>
        <v>0</v>
      </c>
      <c r="O78" s="18">
        <f>IFERROR(VLOOKUP("7-270101-6-F",data_code, 2,FALSE),0)</f>
        <v>0</v>
      </c>
      <c r="P78" s="4">
        <f>IFERROR(VLOOKUP("7-270101-7-M",data_code, 2,FALSE),0)</f>
        <v>1</v>
      </c>
      <c r="Q78" s="18">
        <f>IFERROR(VLOOKUP("7-270101-7-F",data_code, 2,FALSE),0)</f>
        <v>1</v>
      </c>
      <c r="R78" s="4">
        <f>IFERROR(VLOOKUP("7-270101-8-M",data_code, 2,FALSE),0)</f>
        <v>0</v>
      </c>
      <c r="S78" s="18">
        <f>IFERROR(VLOOKUP("7-270101-8-F",data_code, 2,FALSE),0)</f>
        <v>0</v>
      </c>
      <c r="T78" s="4">
        <f>IFERROR(VLOOKUP("7-270101-9-M",data_code, 2,FALSE),0)</f>
        <v>1</v>
      </c>
      <c r="U78" s="4">
        <f>IFERROR(VLOOKUP("7-270101-9-F",data_code, 2,FALSE),0)</f>
        <v>0</v>
      </c>
      <c r="V78" s="32">
        <f t="shared" si="20"/>
        <v>4</v>
      </c>
      <c r="W78" s="4">
        <f t="shared" si="21"/>
        <v>4</v>
      </c>
      <c r="X78" s="38">
        <f t="shared" si="22"/>
        <v>8</v>
      </c>
    </row>
    <row r="79" spans="1:24">
      <c r="A79" s="83"/>
      <c r="B79" s="5" t="s">
        <v>11</v>
      </c>
      <c r="C79" s="6" t="s">
        <v>124</v>
      </c>
      <c r="D79" s="32">
        <f>IFERROR(VLOOKUP("7-300000-1-M",data_code, 2,FALSE),0)</f>
        <v>0</v>
      </c>
      <c r="E79" s="18">
        <f>IFERROR(VLOOKUP("7-300000-1-F",data_code, 2,FALSE),0)</f>
        <v>4</v>
      </c>
      <c r="F79" s="4">
        <f>IFERROR(VLOOKUP("7-300000-2-M",data_code, 2,FALSE),0)</f>
        <v>0</v>
      </c>
      <c r="G79" s="18">
        <f>IFERROR(VLOOKUP("7-300000-2-F",data_code, 2,FALSE),0)</f>
        <v>0</v>
      </c>
      <c r="H79" s="32">
        <f>IFERROR(VLOOKUP("7-300000-3-M",data_code, 2,FALSE),0)</f>
        <v>0</v>
      </c>
      <c r="I79" s="18">
        <f>IFERROR(VLOOKUP("7-300000-3-F",data_code, 2,FALSE),0)</f>
        <v>0</v>
      </c>
      <c r="J79" s="32">
        <f>IFERROR(VLOOKUP("7-300000-4-M",data_code, 2,FALSE),0)</f>
        <v>0</v>
      </c>
      <c r="K79" s="18">
        <f>IFERROR(VLOOKUP("7-300000-4-F",data_code, 2,FALSE),0)</f>
        <v>0</v>
      </c>
      <c r="L79" s="4">
        <f>IFERROR(VLOOKUP("7-300000-5-M",data_code, 2,FALSE),0)</f>
        <v>0</v>
      </c>
      <c r="M79" s="18">
        <f>IFERROR(VLOOKUP("7-300000-5-F",data_code, 2,FALSE),0)</f>
        <v>1</v>
      </c>
      <c r="N79" s="4">
        <f>IFERROR(VLOOKUP("7-300000-6-M",data_code, 2,FALSE),0)</f>
        <v>0</v>
      </c>
      <c r="O79" s="18">
        <f>IFERROR(VLOOKUP("7-300000-6-F",data_code, 2,FALSE),0)</f>
        <v>0</v>
      </c>
      <c r="P79" s="4">
        <f>IFERROR(VLOOKUP("7-300000-7-M",data_code, 2,FALSE),0)</f>
        <v>1</v>
      </c>
      <c r="Q79" s="18">
        <f>IFERROR(VLOOKUP("7-300000-7-F",data_code, 2,FALSE),0)</f>
        <v>1</v>
      </c>
      <c r="R79" s="4">
        <f>IFERROR(VLOOKUP("7-300000-8-M",data_code, 2,FALSE),0)</f>
        <v>0</v>
      </c>
      <c r="S79" s="18">
        <f>IFERROR(VLOOKUP("7-300000-8-F",data_code, 2,FALSE),0)</f>
        <v>0</v>
      </c>
      <c r="T79" s="4">
        <f>IFERROR(VLOOKUP("7-300000-9-M",data_code, 2,FALSE),0)</f>
        <v>0</v>
      </c>
      <c r="U79" s="4">
        <f>IFERROR(VLOOKUP("7-300000-9-F",data_code, 2,FALSE),0)</f>
        <v>1</v>
      </c>
      <c r="V79" s="32">
        <f t="shared" si="20"/>
        <v>1</v>
      </c>
      <c r="W79" s="4">
        <f t="shared" si="21"/>
        <v>7</v>
      </c>
      <c r="X79" s="38">
        <f t="shared" si="22"/>
        <v>8</v>
      </c>
    </row>
    <row r="80" spans="1:24">
      <c r="A80" s="83"/>
      <c r="B80" s="5" t="s">
        <v>726</v>
      </c>
      <c r="C80" s="6" t="s">
        <v>131</v>
      </c>
      <c r="D80" s="32">
        <f>IFERROR(VLOOKUP("7-304401-1-M",data_code, 2,FALSE),0)</f>
        <v>0</v>
      </c>
      <c r="E80" s="18">
        <f>IFERROR(VLOOKUP("7-304401-1-F",data_code, 2,FALSE),0)</f>
        <v>1</v>
      </c>
      <c r="F80" s="4">
        <f>IFERROR(VLOOKUP("7-304401-2-M",data_code, 2,FALSE),0)</f>
        <v>0</v>
      </c>
      <c r="G80" s="18">
        <f>IFERROR(VLOOKUP("7-304401-2-F",data_code, 2,FALSE),0)</f>
        <v>0</v>
      </c>
      <c r="H80" s="32">
        <f>IFERROR(VLOOKUP("7-304401-3-M",data_code, 2,FALSE),0)</f>
        <v>0</v>
      </c>
      <c r="I80" s="18">
        <f>IFERROR(VLOOKUP("7-304401-3-F",data_code, 2,FALSE),0)</f>
        <v>0</v>
      </c>
      <c r="J80" s="32">
        <f>IFERROR(VLOOKUP("7-304401-4-M",data_code, 2,FALSE),0)</f>
        <v>0</v>
      </c>
      <c r="K80" s="18">
        <f>IFERROR(VLOOKUP("7-304401-4-F",data_code, 2,FALSE),0)</f>
        <v>0</v>
      </c>
      <c r="L80" s="4">
        <f>IFERROR(VLOOKUP("7-304401-5-M",data_code, 2,FALSE),0)</f>
        <v>0</v>
      </c>
      <c r="M80" s="18">
        <f>IFERROR(VLOOKUP("7-304401-5-F",data_code, 2,FALSE),0)</f>
        <v>0</v>
      </c>
      <c r="N80" s="4">
        <f>IFERROR(VLOOKUP("7-304401-6-M",data_code, 2,FALSE),0)</f>
        <v>0</v>
      </c>
      <c r="O80" s="18">
        <f>IFERROR(VLOOKUP("7-304401-6-F",data_code, 2,FALSE),0)</f>
        <v>0</v>
      </c>
      <c r="P80" s="4">
        <f>IFERROR(VLOOKUP("7-304401-7-M",data_code, 2,FALSE),0)</f>
        <v>1</v>
      </c>
      <c r="Q80" s="18">
        <f>IFERROR(VLOOKUP("7-304401-7-F",data_code, 2,FALSE),0)</f>
        <v>3</v>
      </c>
      <c r="R80" s="4">
        <f>IFERROR(VLOOKUP("7-304401-8-M",data_code, 2,FALSE),0)</f>
        <v>0</v>
      </c>
      <c r="S80" s="18">
        <f>IFERROR(VLOOKUP("7-304401-8-F",data_code, 2,FALSE),0)</f>
        <v>0</v>
      </c>
      <c r="T80" s="4">
        <f>IFERROR(VLOOKUP("7-304401-9-M",data_code, 2,FALSE),0)</f>
        <v>0</v>
      </c>
      <c r="U80" s="4">
        <f>IFERROR(VLOOKUP("7-304401-9-F",data_code, 2,FALSE),0)</f>
        <v>1</v>
      </c>
      <c r="V80" s="32">
        <f t="shared" ref="V80" si="25">SUMIF($D$2:$U$2,"Men",D80:U80)</f>
        <v>1</v>
      </c>
      <c r="W80" s="4">
        <f t="shared" ref="W80" si="26">SUMIF($D$2:$U$2,"Women",D80:U80)</f>
        <v>5</v>
      </c>
      <c r="X80" s="38">
        <f t="shared" ref="X80" si="27">SUM(V80:W80)</f>
        <v>6</v>
      </c>
    </row>
    <row r="81" spans="1:24">
      <c r="A81" s="83"/>
      <c r="B81" s="5">
        <v>31.0501</v>
      </c>
      <c r="C81" s="6" t="s">
        <v>125</v>
      </c>
      <c r="D81" s="32">
        <f>IFERROR(VLOOKUP("7-310501-1-M",data_code, 2,FALSE),0)</f>
        <v>2</v>
      </c>
      <c r="E81" s="18">
        <f>IFERROR(VLOOKUP("7-310501-1-F",data_code, 2,FALSE),0)</f>
        <v>4</v>
      </c>
      <c r="F81" s="4">
        <f>IFERROR(VLOOKUP("7-310501-2-M",data_code, 2,FALSE),0)</f>
        <v>4</v>
      </c>
      <c r="G81" s="18">
        <f>IFERROR(VLOOKUP("7-310501-2-F",data_code, 2,FALSE),0)</f>
        <v>2</v>
      </c>
      <c r="H81" s="32">
        <f>IFERROR(VLOOKUP("7-310501-3-M",data_code, 2,FALSE),0)</f>
        <v>0</v>
      </c>
      <c r="I81" s="18">
        <f>IFERROR(VLOOKUP("7-310501-3-F",data_code, 2,FALSE),0)</f>
        <v>0</v>
      </c>
      <c r="J81" s="32">
        <f>IFERROR(VLOOKUP("7-310501-4-M",data_code, 2,FALSE),0)</f>
        <v>1</v>
      </c>
      <c r="K81" s="18">
        <f>IFERROR(VLOOKUP("7-310501-4-F",data_code, 2,FALSE),0)</f>
        <v>0</v>
      </c>
      <c r="L81" s="4">
        <f>IFERROR(VLOOKUP("7-310501-5-M",data_code, 2,FALSE),0)</f>
        <v>3</v>
      </c>
      <c r="M81" s="18">
        <f>IFERROR(VLOOKUP("7-310501-5-F",data_code, 2,FALSE),0)</f>
        <v>2</v>
      </c>
      <c r="N81" s="4">
        <f>IFERROR(VLOOKUP("7-310501-6-M",data_code, 2,FALSE),0)</f>
        <v>0</v>
      </c>
      <c r="O81" s="18">
        <f>IFERROR(VLOOKUP("7-310501-6-F",data_code, 2,FALSE),0)</f>
        <v>0</v>
      </c>
      <c r="P81" s="4">
        <f>IFERROR(VLOOKUP("7-310501-7-M",data_code, 2,FALSE),0)</f>
        <v>6</v>
      </c>
      <c r="Q81" s="18">
        <f>IFERROR(VLOOKUP("7-310501-7-F",data_code, 2,FALSE),0)</f>
        <v>10</v>
      </c>
      <c r="R81" s="4">
        <f>IFERROR(VLOOKUP("7-310501-8-M",data_code, 2,FALSE),0)</f>
        <v>0</v>
      </c>
      <c r="S81" s="18">
        <f>IFERROR(VLOOKUP("7-310501-8-F",data_code, 2,FALSE),0)</f>
        <v>1</v>
      </c>
      <c r="T81" s="4">
        <f>IFERROR(VLOOKUP("7-310501-9-M",data_code, 2,FALSE),0)</f>
        <v>10</v>
      </c>
      <c r="U81" s="4">
        <f>IFERROR(VLOOKUP("7-310501-9-F",data_code, 2,FALSE),0)</f>
        <v>6</v>
      </c>
      <c r="V81" s="32">
        <f t="shared" si="20"/>
        <v>26</v>
      </c>
      <c r="W81" s="4">
        <f t="shared" si="21"/>
        <v>25</v>
      </c>
      <c r="X81" s="38">
        <f t="shared" si="22"/>
        <v>51</v>
      </c>
    </row>
    <row r="82" spans="1:24">
      <c r="A82" s="83"/>
      <c r="B82" s="5">
        <v>40.0501</v>
      </c>
      <c r="C82" s="6" t="s">
        <v>126</v>
      </c>
      <c r="D82" s="32">
        <f>IFERROR(VLOOKUP("7-400501-1-M",data_code, 2,FALSE),0)</f>
        <v>3</v>
      </c>
      <c r="E82" s="18">
        <f>IFERROR(VLOOKUP("7-400501-1-F",data_code, 2,FALSE),0)</f>
        <v>6</v>
      </c>
      <c r="F82" s="4">
        <f>IFERROR(VLOOKUP("7-400501-2-M",data_code, 2,FALSE),0)</f>
        <v>0</v>
      </c>
      <c r="G82" s="18">
        <f>IFERROR(VLOOKUP("7-400501-2-F",data_code, 2,FALSE),0)</f>
        <v>0</v>
      </c>
      <c r="H82" s="32">
        <f>IFERROR(VLOOKUP("7-400501-3-M",data_code, 2,FALSE),0)</f>
        <v>0</v>
      </c>
      <c r="I82" s="18">
        <f>IFERROR(VLOOKUP("7-400501-3-F",data_code, 2,FALSE),0)</f>
        <v>0</v>
      </c>
      <c r="J82" s="32">
        <f>IFERROR(VLOOKUP("7-400501-4-M",data_code, 2,FALSE),0)</f>
        <v>0</v>
      </c>
      <c r="K82" s="18">
        <f>IFERROR(VLOOKUP("7-400501-4-F",data_code, 2,FALSE),0)</f>
        <v>0</v>
      </c>
      <c r="L82" s="4">
        <f>IFERROR(VLOOKUP("7-400501-5-M",data_code, 2,FALSE),0)</f>
        <v>0</v>
      </c>
      <c r="M82" s="18">
        <f>IFERROR(VLOOKUP("7-400501-5-F",data_code, 2,FALSE),0)</f>
        <v>0</v>
      </c>
      <c r="N82" s="4">
        <f>IFERROR(VLOOKUP("7-400501-6-M",data_code, 2,FALSE),0)</f>
        <v>0</v>
      </c>
      <c r="O82" s="18">
        <f>IFERROR(VLOOKUP("7-400501-6-F",data_code, 2,FALSE),0)</f>
        <v>0</v>
      </c>
      <c r="P82" s="4">
        <f>IFERROR(VLOOKUP("7-400501-7-M",data_code, 2,FALSE),0)</f>
        <v>2</v>
      </c>
      <c r="Q82" s="18">
        <f>IFERROR(VLOOKUP("7-400501-7-F",data_code, 2,FALSE),0)</f>
        <v>4</v>
      </c>
      <c r="R82" s="4">
        <f>IFERROR(VLOOKUP("7-400501-8-M",data_code, 2,FALSE),0)</f>
        <v>0</v>
      </c>
      <c r="S82" s="18">
        <f>IFERROR(VLOOKUP("7-400501-8-F",data_code, 2,FALSE),0)</f>
        <v>0</v>
      </c>
      <c r="T82" s="4">
        <f>IFERROR(VLOOKUP("7-400501-9-M",data_code, 2,FALSE),0)</f>
        <v>0</v>
      </c>
      <c r="U82" s="4">
        <f>IFERROR(VLOOKUP("7-400501-9-F",data_code, 2,FALSE),0)</f>
        <v>0</v>
      </c>
      <c r="V82" s="32">
        <f t="shared" si="20"/>
        <v>5</v>
      </c>
      <c r="W82" s="4">
        <f t="shared" si="21"/>
        <v>10</v>
      </c>
      <c r="X82" s="38">
        <f t="shared" si="22"/>
        <v>15</v>
      </c>
    </row>
    <row r="83" spans="1:24">
      <c r="A83" s="83"/>
      <c r="B83" s="5">
        <v>42.010100000000001</v>
      </c>
      <c r="C83" s="6" t="s">
        <v>127</v>
      </c>
      <c r="D83" s="32">
        <f>IFERROR(VLOOKUP("7-420101-1-M",data_code, 2,FALSE),0)</f>
        <v>1</v>
      </c>
      <c r="E83" s="18">
        <f>IFERROR(VLOOKUP("7-420101-1-F",data_code, 2,FALSE),0)</f>
        <v>0</v>
      </c>
      <c r="F83" s="4">
        <f>IFERROR(VLOOKUP("7-420101-2-M",data_code, 2,FALSE),0)</f>
        <v>0</v>
      </c>
      <c r="G83" s="18">
        <f>IFERROR(VLOOKUP("7-420101-2-F",data_code, 2,FALSE),0)</f>
        <v>1</v>
      </c>
      <c r="H83" s="32">
        <f>IFERROR(VLOOKUP("7-420101-3-M",data_code, 2,FALSE),0)</f>
        <v>0</v>
      </c>
      <c r="I83" s="18">
        <f>IFERROR(VLOOKUP("7-420101-3-F",data_code, 2,FALSE),0)</f>
        <v>0</v>
      </c>
      <c r="J83" s="32">
        <f>IFERROR(VLOOKUP("7-420101-4-M",data_code, 2,FALSE),0)</f>
        <v>0</v>
      </c>
      <c r="K83" s="18">
        <f>IFERROR(VLOOKUP("7-420101-4-F",data_code, 2,FALSE),0)</f>
        <v>0</v>
      </c>
      <c r="L83" s="4">
        <f>IFERROR(VLOOKUP("7-420101-5-M",data_code, 2,FALSE),0)</f>
        <v>0</v>
      </c>
      <c r="M83" s="18">
        <f>IFERROR(VLOOKUP("7-420101-5-F",data_code, 2,FALSE),0)</f>
        <v>1</v>
      </c>
      <c r="N83" s="4">
        <f>IFERROR(VLOOKUP("7-420101-6-M",data_code, 2,FALSE),0)</f>
        <v>0</v>
      </c>
      <c r="O83" s="18">
        <f>IFERROR(VLOOKUP("7-420101-6-F",data_code, 2,FALSE),0)</f>
        <v>0</v>
      </c>
      <c r="P83" s="4">
        <f>IFERROR(VLOOKUP("7-420101-7-M",data_code, 2,FALSE),0)</f>
        <v>4</v>
      </c>
      <c r="Q83" s="18">
        <f>IFERROR(VLOOKUP("7-420101-7-F",data_code, 2,FALSE),0)</f>
        <v>17</v>
      </c>
      <c r="R83" s="4">
        <f>IFERROR(VLOOKUP("7-420101-8-M",data_code, 2,FALSE),0)</f>
        <v>1</v>
      </c>
      <c r="S83" s="18">
        <f>IFERROR(VLOOKUP("7-420101-8-F",data_code, 2,FALSE),0)</f>
        <v>0</v>
      </c>
      <c r="T83" s="4">
        <f>IFERROR(VLOOKUP("7-420101-9-M",data_code, 2,FALSE),0)</f>
        <v>2</v>
      </c>
      <c r="U83" s="4">
        <f>IFERROR(VLOOKUP("7-420101-9-F",data_code, 2,FALSE),0)</f>
        <v>2</v>
      </c>
      <c r="V83" s="32">
        <f t="shared" si="20"/>
        <v>8</v>
      </c>
      <c r="W83" s="4">
        <f t="shared" si="21"/>
        <v>21</v>
      </c>
      <c r="X83" s="38">
        <f t="shared" si="22"/>
        <v>29</v>
      </c>
    </row>
    <row r="84" spans="1:24">
      <c r="A84" s="83"/>
      <c r="B84" s="5">
        <v>43.010399999999997</v>
      </c>
      <c r="C84" s="6" t="s">
        <v>128</v>
      </c>
      <c r="D84" s="32">
        <f>IFERROR(VLOOKUP("7-430104-1-M",data_code, 2,FALSE),0)</f>
        <v>0</v>
      </c>
      <c r="E84" s="18">
        <f>IFERROR(VLOOKUP("7-430104-1-F",data_code, 2,FALSE),0)</f>
        <v>0</v>
      </c>
      <c r="F84" s="4">
        <f>IFERROR(VLOOKUP("7-430104-2-M",data_code, 2,FALSE),0)</f>
        <v>1</v>
      </c>
      <c r="G84" s="18">
        <f>IFERROR(VLOOKUP("7-430104-2-F",data_code, 2,FALSE),0)</f>
        <v>0</v>
      </c>
      <c r="H84" s="32">
        <f>IFERROR(VLOOKUP("7-430104-3-M",data_code, 2,FALSE),0)</f>
        <v>0</v>
      </c>
      <c r="I84" s="18">
        <f>IFERROR(VLOOKUP("7-430104-3-F",data_code, 2,FALSE),0)</f>
        <v>0</v>
      </c>
      <c r="J84" s="32">
        <f>IFERROR(VLOOKUP("7-430104-4-M",data_code, 2,FALSE),0)</f>
        <v>0</v>
      </c>
      <c r="K84" s="18">
        <f>IFERROR(VLOOKUP("7-430104-4-F",data_code, 2,FALSE),0)</f>
        <v>0</v>
      </c>
      <c r="L84" s="4">
        <f>IFERROR(VLOOKUP("7-430104-5-M",data_code, 2,FALSE),0)</f>
        <v>0</v>
      </c>
      <c r="M84" s="18">
        <f>IFERROR(VLOOKUP("7-430104-5-F",data_code, 2,FALSE),0)</f>
        <v>2</v>
      </c>
      <c r="N84" s="4">
        <f>IFERROR(VLOOKUP("7-430104-6-M",data_code, 2,FALSE),0)</f>
        <v>0</v>
      </c>
      <c r="O84" s="18">
        <f>IFERROR(VLOOKUP("7-430104-6-F",data_code, 2,FALSE),0)</f>
        <v>0</v>
      </c>
      <c r="P84" s="4">
        <f>IFERROR(VLOOKUP("7-430104-7-M",data_code, 2,FALSE),0)</f>
        <v>1</v>
      </c>
      <c r="Q84" s="18">
        <f>IFERROR(VLOOKUP("7-430104-7-F",data_code, 2,FALSE),0)</f>
        <v>3</v>
      </c>
      <c r="R84" s="4">
        <f>IFERROR(VLOOKUP("7-430104-8-M",data_code, 2,FALSE),0)</f>
        <v>0</v>
      </c>
      <c r="S84" s="18">
        <f>IFERROR(VLOOKUP("7-430104-8-F",data_code, 2,FALSE),0)</f>
        <v>0</v>
      </c>
      <c r="T84" s="4">
        <f>IFERROR(VLOOKUP("7-430104-9-M",data_code, 2,FALSE),0)</f>
        <v>2</v>
      </c>
      <c r="U84" s="4">
        <f>IFERROR(VLOOKUP("7-430104-9-F",data_code, 2,FALSE),0)</f>
        <v>0</v>
      </c>
      <c r="V84" s="32">
        <f t="shared" si="20"/>
        <v>4</v>
      </c>
      <c r="W84" s="4">
        <f t="shared" si="21"/>
        <v>5</v>
      </c>
      <c r="X84" s="38">
        <f t="shared" si="22"/>
        <v>9</v>
      </c>
    </row>
    <row r="85" spans="1:24">
      <c r="A85" s="83"/>
      <c r="B85" s="5" t="s">
        <v>760</v>
      </c>
      <c r="C85" s="6" t="s">
        <v>761</v>
      </c>
      <c r="D85" s="32">
        <f>IFERROR(VLOOKUP("7-430406-1-M",data_code, 2,FALSE),0)</f>
        <v>0</v>
      </c>
      <c r="E85" s="18">
        <f>IFERROR(VLOOKUP("7-430406-1-F",data_code, 2,FALSE),0)</f>
        <v>0</v>
      </c>
      <c r="F85" s="4">
        <f>IFERROR(VLOOKUP("7-430406-2-M",data_code, 2,FALSE),0)</f>
        <v>0</v>
      </c>
      <c r="G85" s="18">
        <f>IFERROR(VLOOKUP("7-430406-2-F",data_code, 2,FALSE),0)</f>
        <v>0</v>
      </c>
      <c r="H85" s="32">
        <f>IFERROR(VLOOKUP("7-430406-3-M",data_code, 2,FALSE),0)</f>
        <v>0</v>
      </c>
      <c r="I85" s="18">
        <f>IFERROR(VLOOKUP("7-430406-3-F",data_code, 2,FALSE),0)</f>
        <v>0</v>
      </c>
      <c r="J85" s="32">
        <f>IFERROR(VLOOKUP("7-430406-4-M",data_code, 2,FALSE),0)</f>
        <v>0</v>
      </c>
      <c r="K85" s="18">
        <f>IFERROR(VLOOKUP("7-430406-4-F",data_code, 2,FALSE),0)</f>
        <v>0</v>
      </c>
      <c r="L85" s="4">
        <f>IFERROR(VLOOKUP("7-430406-5-M",data_code, 2,FALSE),0)</f>
        <v>0</v>
      </c>
      <c r="M85" s="18">
        <f>IFERROR(VLOOKUP("7-430406-5-F",data_code, 2,FALSE),0)</f>
        <v>0</v>
      </c>
      <c r="N85" s="4">
        <f>IFERROR(VLOOKUP("7-430406-6-M",data_code, 2,FALSE),0)</f>
        <v>0</v>
      </c>
      <c r="O85" s="18">
        <f>IFERROR(VLOOKUP("7-430406-6-F",data_code, 2,FALSE),0)</f>
        <v>0</v>
      </c>
      <c r="P85" s="4">
        <f>IFERROR(VLOOKUP("7-430406-7-M",data_code, 2,FALSE),0)</f>
        <v>0</v>
      </c>
      <c r="Q85" s="18">
        <f>IFERROR(VLOOKUP("7-430406-7-F",data_code, 2,FALSE),0)</f>
        <v>2</v>
      </c>
      <c r="R85" s="4">
        <f>IFERROR(VLOOKUP("7-430406-8-M",data_code, 2,FALSE),0)</f>
        <v>0</v>
      </c>
      <c r="S85" s="18">
        <f>IFERROR(VLOOKUP("7-430406-8-F",data_code, 2,FALSE),0)</f>
        <v>0</v>
      </c>
      <c r="T85" s="4">
        <f>IFERROR(VLOOKUP("7-430406-9-M",data_code, 2,FALSE),0)</f>
        <v>0</v>
      </c>
      <c r="U85" s="4">
        <f>IFERROR(VLOOKUP("7-430406-9-F",data_code, 2,FALSE),0)</f>
        <v>0</v>
      </c>
      <c r="V85" s="32">
        <f>SUMIF($D$2:$U$2,"Men",D85:U85)</f>
        <v>0</v>
      </c>
      <c r="W85" s="4">
        <f t="shared" ref="W85" si="28">SUMIF($D$2:$U$2,"Women",D85:U85)</f>
        <v>2</v>
      </c>
      <c r="X85" s="38">
        <f t="shared" si="22"/>
        <v>2</v>
      </c>
    </row>
    <row r="86" spans="1:24">
      <c r="A86" s="83"/>
      <c r="B86" s="5">
        <v>44.040100000000002</v>
      </c>
      <c r="C86" s="6" t="s">
        <v>129</v>
      </c>
      <c r="D86" s="32">
        <f>IFERROR(VLOOKUP("7-440401-1-M",data_code, 2,FALSE),0)</f>
        <v>0</v>
      </c>
      <c r="E86" s="18">
        <f>IFERROR(VLOOKUP("7-440401-1-F",data_code, 2,FALSE),0)</f>
        <v>0</v>
      </c>
      <c r="F86" s="4">
        <f>IFERROR(VLOOKUP("7-440401-2-M",data_code, 2,FALSE),0)</f>
        <v>0</v>
      </c>
      <c r="G86" s="18">
        <f>IFERROR(VLOOKUP("7-440401-2-F",data_code, 2,FALSE),0)</f>
        <v>2</v>
      </c>
      <c r="H86" s="32">
        <f>IFERROR(VLOOKUP("7-440401-3-M",data_code, 2,FALSE),0)</f>
        <v>0</v>
      </c>
      <c r="I86" s="18">
        <f>IFERROR(VLOOKUP("7-440401-3-F",data_code, 2,FALSE),0)</f>
        <v>0</v>
      </c>
      <c r="J86" s="32">
        <f>IFERROR(VLOOKUP("7-440401-4-M",data_code, 2,FALSE),0)</f>
        <v>0</v>
      </c>
      <c r="K86" s="18">
        <f>IFERROR(VLOOKUP("7-440401-4-F",data_code, 2,FALSE),0)</f>
        <v>0</v>
      </c>
      <c r="L86" s="4">
        <f>IFERROR(VLOOKUP("7-440401-5-M",data_code, 2,FALSE),0)</f>
        <v>1</v>
      </c>
      <c r="M86" s="18">
        <f>IFERROR(VLOOKUP("7-440401-5-F",data_code, 2,FALSE),0)</f>
        <v>6</v>
      </c>
      <c r="N86" s="4">
        <f>IFERROR(VLOOKUP("7-440401-6-M",data_code, 2,FALSE),0)</f>
        <v>0</v>
      </c>
      <c r="O86" s="18">
        <f>IFERROR(VLOOKUP("7-440401-6-F",data_code, 2,FALSE),0)</f>
        <v>0</v>
      </c>
      <c r="P86" s="4">
        <f>IFERROR(VLOOKUP("7-440401-7-M",data_code, 2,FALSE),0)</f>
        <v>4</v>
      </c>
      <c r="Q86" s="18">
        <f>IFERROR(VLOOKUP("7-440401-7-F",data_code, 2,FALSE),0)</f>
        <v>5</v>
      </c>
      <c r="R86" s="4">
        <f>IFERROR(VLOOKUP("7-440401-8-M",data_code, 2,FALSE),0)</f>
        <v>0</v>
      </c>
      <c r="S86" s="18">
        <f>IFERROR(VLOOKUP("7-440401-8-F",data_code, 2,FALSE),0)</f>
        <v>0</v>
      </c>
      <c r="T86" s="4">
        <f>IFERROR(VLOOKUP("7-440401-9-M",data_code, 2,FALSE),0)</f>
        <v>0</v>
      </c>
      <c r="U86" s="4">
        <f>IFERROR(VLOOKUP("7-440401-9-F",data_code, 2,FALSE),0)</f>
        <v>5</v>
      </c>
      <c r="V86" s="32">
        <f t="shared" si="20"/>
        <v>5</v>
      </c>
      <c r="W86" s="4">
        <f t="shared" si="21"/>
        <v>18</v>
      </c>
      <c r="X86" s="38">
        <f t="shared" si="22"/>
        <v>23</v>
      </c>
    </row>
    <row r="87" spans="1:24">
      <c r="A87" s="83"/>
      <c r="B87" s="5">
        <v>44.070099999999996</v>
      </c>
      <c r="C87" s="6" t="s">
        <v>130</v>
      </c>
      <c r="D87" s="32">
        <f>IFERROR(VLOOKUP("7-440701-1-M",data_code, 2,FALSE),0)</f>
        <v>0</v>
      </c>
      <c r="E87" s="18">
        <f>IFERROR(VLOOKUP("7-440701-1-F",data_code, 2,FALSE),0)</f>
        <v>0</v>
      </c>
      <c r="F87" s="4">
        <f>IFERROR(VLOOKUP("7-440701-2-M",data_code, 2,FALSE),0)</f>
        <v>0</v>
      </c>
      <c r="G87" s="18">
        <f>IFERROR(VLOOKUP("7-440701-2-F",data_code, 2,FALSE),0)</f>
        <v>1</v>
      </c>
      <c r="H87" s="32">
        <f>IFERROR(VLOOKUP("7-440701-3-M",data_code, 2,FALSE),0)</f>
        <v>0</v>
      </c>
      <c r="I87" s="18">
        <f>IFERROR(VLOOKUP("7-440701-3-F",data_code, 2,FALSE),0)</f>
        <v>0</v>
      </c>
      <c r="J87" s="32">
        <f>IFERROR(VLOOKUP("7-440701-4-M",data_code, 2,FALSE),0)</f>
        <v>0</v>
      </c>
      <c r="K87" s="18">
        <f>IFERROR(VLOOKUP("7-440701-4-F",data_code, 2,FALSE),0)</f>
        <v>0</v>
      </c>
      <c r="L87" s="4">
        <f>IFERROR(VLOOKUP("7-440701-5-M",data_code, 2,FALSE),0)</f>
        <v>1</v>
      </c>
      <c r="M87" s="18">
        <f>IFERROR(VLOOKUP("7-440701-5-F",data_code, 2,FALSE),0)</f>
        <v>5</v>
      </c>
      <c r="N87" s="4">
        <f>IFERROR(VLOOKUP("7-440701-6-M",data_code, 2,FALSE),0)</f>
        <v>0</v>
      </c>
      <c r="O87" s="18">
        <f>IFERROR(VLOOKUP("7-440701-6-F",data_code, 2,FALSE),0)</f>
        <v>0</v>
      </c>
      <c r="P87" s="4">
        <f>IFERROR(VLOOKUP("7-440701-7-M",data_code, 2,FALSE),0)</f>
        <v>0</v>
      </c>
      <c r="Q87" s="18">
        <f>IFERROR(VLOOKUP("7-440701-7-F",data_code, 2,FALSE),0)</f>
        <v>11</v>
      </c>
      <c r="R87" s="4">
        <f>IFERROR(VLOOKUP("7-440701-8-M",data_code, 2,FALSE),0)</f>
        <v>0</v>
      </c>
      <c r="S87" s="18">
        <f>IFERROR(VLOOKUP("7-440701-8-F",data_code, 2,FALSE),0)</f>
        <v>0</v>
      </c>
      <c r="T87" s="4">
        <f>IFERROR(VLOOKUP("7-440701-9-M",data_code, 2,FALSE),0)</f>
        <v>1</v>
      </c>
      <c r="U87" s="4">
        <f>IFERROR(VLOOKUP("7-440701-9-F",data_code, 2,FALSE),0)</f>
        <v>3</v>
      </c>
      <c r="V87" s="32">
        <f t="shared" si="20"/>
        <v>2</v>
      </c>
      <c r="W87" s="4">
        <f t="shared" si="21"/>
        <v>20</v>
      </c>
      <c r="X87" s="38">
        <f t="shared" si="22"/>
        <v>22</v>
      </c>
    </row>
    <row r="88" spans="1:24">
      <c r="A88" s="83"/>
      <c r="B88" s="5">
        <v>45.110100000000003</v>
      </c>
      <c r="C88" s="6" t="s">
        <v>132</v>
      </c>
      <c r="D88" s="32">
        <f>IFERROR(VLOOKUP("7-451101-1-M",data_code, 2,FALSE),0)</f>
        <v>2</v>
      </c>
      <c r="E88" s="18">
        <f>IFERROR(VLOOKUP("7-451101-1-F",data_code, 2,FALSE),0)</f>
        <v>1</v>
      </c>
      <c r="F88" s="4">
        <f>IFERROR(VLOOKUP("7-451101-2-M",data_code, 2,FALSE),0)</f>
        <v>0</v>
      </c>
      <c r="G88" s="18">
        <f>IFERROR(VLOOKUP("7-451101-2-F",data_code, 2,FALSE),0)</f>
        <v>0</v>
      </c>
      <c r="H88" s="32">
        <f>IFERROR(VLOOKUP("7-451101-3-M",data_code, 2,FALSE),0)</f>
        <v>0</v>
      </c>
      <c r="I88" s="18">
        <f>IFERROR(VLOOKUP("7-451101-3-F",data_code, 2,FALSE),0)</f>
        <v>0</v>
      </c>
      <c r="J88" s="32">
        <f>IFERROR(VLOOKUP("7-451101-4-M",data_code, 2,FALSE),0)</f>
        <v>0</v>
      </c>
      <c r="K88" s="18">
        <f>IFERROR(VLOOKUP("7-451101-4-F",data_code, 2,FALSE),0)</f>
        <v>0</v>
      </c>
      <c r="L88" s="4">
        <f>IFERROR(VLOOKUP("7-451101-5-M",data_code, 2,FALSE),0)</f>
        <v>0</v>
      </c>
      <c r="M88" s="18">
        <f>IFERROR(VLOOKUP("7-451101-5-F",data_code, 2,FALSE),0)</f>
        <v>0</v>
      </c>
      <c r="N88" s="4">
        <f>IFERROR(VLOOKUP("7-451101-6-M",data_code, 2,FALSE),0)</f>
        <v>0</v>
      </c>
      <c r="O88" s="18">
        <f>IFERROR(VLOOKUP("7-451101-6-F",data_code, 2,FALSE),0)</f>
        <v>0</v>
      </c>
      <c r="P88" s="4">
        <f>IFERROR(VLOOKUP("7-451101-7-M",data_code, 2,FALSE),0)</f>
        <v>2</v>
      </c>
      <c r="Q88" s="18">
        <f>IFERROR(VLOOKUP("7-451101-7-F",data_code, 2,FALSE),0)</f>
        <v>3</v>
      </c>
      <c r="R88" s="4">
        <f>IFERROR(VLOOKUP("7-451101-8-M",data_code, 2,FALSE),0)</f>
        <v>0</v>
      </c>
      <c r="S88" s="18">
        <f>IFERROR(VLOOKUP("7-451101-8-F",data_code, 2,FALSE),0)</f>
        <v>0</v>
      </c>
      <c r="T88" s="4">
        <f>IFERROR(VLOOKUP("7-451101-9-M",data_code, 2,FALSE),0)</f>
        <v>0</v>
      </c>
      <c r="U88" s="4">
        <f>IFERROR(VLOOKUP("7-451101-9-F",data_code, 2,FALSE),0)</f>
        <v>0</v>
      </c>
      <c r="V88" s="32">
        <f t="shared" si="20"/>
        <v>4</v>
      </c>
      <c r="W88" s="4">
        <f t="shared" si="21"/>
        <v>4</v>
      </c>
      <c r="X88" s="38">
        <f t="shared" si="22"/>
        <v>8</v>
      </c>
    </row>
    <row r="89" spans="1:24">
      <c r="A89" s="83"/>
      <c r="B89" s="5">
        <v>50.0702</v>
      </c>
      <c r="C89" s="6" t="s">
        <v>133</v>
      </c>
      <c r="D89" s="32">
        <f>IFERROR(VLOOKUP("7-500702-1-M",data_code, 2,FALSE),0)</f>
        <v>0</v>
      </c>
      <c r="E89" s="18">
        <f>IFERROR(VLOOKUP("7-500702-1-F",data_code, 2,FALSE),0)</f>
        <v>1</v>
      </c>
      <c r="F89" s="4">
        <f>IFERROR(VLOOKUP("7-500702-2-M",data_code, 2,FALSE),0)</f>
        <v>0</v>
      </c>
      <c r="G89" s="18">
        <f>IFERROR(VLOOKUP("7-500702-2-F",data_code, 2,FALSE),0)</f>
        <v>0</v>
      </c>
      <c r="H89" s="32">
        <f>IFERROR(VLOOKUP("7-500702-3-M",data_code, 2,FALSE),0)</f>
        <v>0</v>
      </c>
      <c r="I89" s="18">
        <f>IFERROR(VLOOKUP("7-500702-3-F",data_code, 2,FALSE),0)</f>
        <v>0</v>
      </c>
      <c r="J89" s="32">
        <f>IFERROR(VLOOKUP("7-500702-4-M",data_code, 2,FALSE),0)</f>
        <v>0</v>
      </c>
      <c r="K89" s="18">
        <f>IFERROR(VLOOKUP("7-500702-4-F",data_code, 2,FALSE),0)</f>
        <v>0</v>
      </c>
      <c r="L89" s="4">
        <f>IFERROR(VLOOKUP("7-500702-5-M",data_code, 2,FALSE),0)</f>
        <v>0</v>
      </c>
      <c r="M89" s="18">
        <f>IFERROR(VLOOKUP("7-500702-5-F",data_code, 2,FALSE),0)</f>
        <v>0</v>
      </c>
      <c r="N89" s="4">
        <f>IFERROR(VLOOKUP("7-500702-6-M",data_code, 2,FALSE),0)</f>
        <v>0</v>
      </c>
      <c r="O89" s="18">
        <f>IFERROR(VLOOKUP("7-500702-6-F",data_code, 2,FALSE),0)</f>
        <v>0</v>
      </c>
      <c r="P89" s="4">
        <f>IFERROR(VLOOKUP("7-500702-7-M",data_code, 2,FALSE),0)</f>
        <v>1</v>
      </c>
      <c r="Q89" s="18">
        <f>IFERROR(VLOOKUP("7-500702-7-F",data_code, 2,FALSE),0)</f>
        <v>1</v>
      </c>
      <c r="R89" s="4">
        <f>IFERROR(VLOOKUP("7-500702-8-M",data_code, 2,FALSE),0)</f>
        <v>0</v>
      </c>
      <c r="S89" s="18">
        <f>IFERROR(VLOOKUP("7-500702-8-F",data_code, 2,FALSE),0)</f>
        <v>0</v>
      </c>
      <c r="T89" s="4">
        <f>IFERROR(VLOOKUP("7-500702-9-M",data_code, 2,FALSE),0)</f>
        <v>1</v>
      </c>
      <c r="U89" s="4">
        <f>IFERROR(VLOOKUP("7-500702-9-F",data_code, 2,FALSE),0)</f>
        <v>1</v>
      </c>
      <c r="V89" s="32">
        <f t="shared" si="20"/>
        <v>2</v>
      </c>
      <c r="W89" s="4">
        <f t="shared" si="21"/>
        <v>3</v>
      </c>
      <c r="X89" s="38">
        <f t="shared" si="22"/>
        <v>5</v>
      </c>
    </row>
    <row r="90" spans="1:24">
      <c r="A90" s="83"/>
      <c r="B90" s="5">
        <v>50.0901</v>
      </c>
      <c r="C90" s="6" t="s">
        <v>134</v>
      </c>
      <c r="D90" s="32">
        <f>IFERROR(VLOOKUP("7-500901-1-M",data_code, 2,FALSE),0)</f>
        <v>1</v>
      </c>
      <c r="E90" s="18">
        <f>IFERROR(VLOOKUP("7-500901-1-F",data_code, 2,FALSE),0)</f>
        <v>0</v>
      </c>
      <c r="F90" s="4">
        <f>IFERROR(VLOOKUP("7-500901-2-M",data_code, 2,FALSE),0)</f>
        <v>0</v>
      </c>
      <c r="G90" s="18">
        <f>IFERROR(VLOOKUP("7-500901-2-F",data_code, 2,FALSE),0)</f>
        <v>0</v>
      </c>
      <c r="H90" s="32">
        <f>IFERROR(VLOOKUP("7-500901-3-M",data_code, 2,FALSE),0)</f>
        <v>0</v>
      </c>
      <c r="I90" s="18">
        <f>IFERROR(VLOOKUP("7-500901-3-F",data_code, 2,FALSE),0)</f>
        <v>0</v>
      </c>
      <c r="J90" s="32">
        <f>IFERROR(VLOOKUP("7-500901-4-M",data_code, 2,FALSE),0)</f>
        <v>0</v>
      </c>
      <c r="K90" s="18">
        <f>IFERROR(VLOOKUP("7-500901-4-F",data_code, 2,FALSE),0)</f>
        <v>0</v>
      </c>
      <c r="L90" s="4">
        <f>IFERROR(VLOOKUP("7-500901-5-M",data_code, 2,FALSE),0)</f>
        <v>1</v>
      </c>
      <c r="M90" s="18">
        <f>IFERROR(VLOOKUP("7-500901-5-F",data_code, 2,FALSE),0)</f>
        <v>0</v>
      </c>
      <c r="N90" s="4">
        <f>IFERROR(VLOOKUP("7-500901-6-M",data_code, 2,FALSE),0)</f>
        <v>0</v>
      </c>
      <c r="O90" s="18">
        <f>IFERROR(VLOOKUP("7-500901-6-F",data_code, 2,FALSE),0)</f>
        <v>0</v>
      </c>
      <c r="P90" s="4">
        <f>IFERROR(VLOOKUP("7-500901-7-M",data_code, 2,FALSE),0)</f>
        <v>1</v>
      </c>
      <c r="Q90" s="18">
        <f>IFERROR(VLOOKUP("7-500901-7-F",data_code, 2,FALSE),0)</f>
        <v>2</v>
      </c>
      <c r="R90" s="4">
        <f>IFERROR(VLOOKUP("7-500901-8-M",data_code, 2,FALSE),0)</f>
        <v>1</v>
      </c>
      <c r="S90" s="18">
        <f>IFERROR(VLOOKUP("7-500901-8-F",data_code, 2,FALSE),0)</f>
        <v>0</v>
      </c>
      <c r="T90" s="4">
        <f>IFERROR(VLOOKUP("7-500901-9-M",data_code, 2,FALSE),0)</f>
        <v>0</v>
      </c>
      <c r="U90" s="4">
        <f>IFERROR(VLOOKUP("7-500901-9-F",data_code, 2,FALSE),0)</f>
        <v>1</v>
      </c>
      <c r="V90" s="32">
        <f t="shared" si="20"/>
        <v>4</v>
      </c>
      <c r="W90" s="4">
        <f t="shared" si="21"/>
        <v>3</v>
      </c>
      <c r="X90" s="38">
        <f t="shared" si="22"/>
        <v>7</v>
      </c>
    </row>
    <row r="91" spans="1:24">
      <c r="A91" s="83"/>
      <c r="B91" s="5">
        <v>51.020400000000002</v>
      </c>
      <c r="C91" s="6" t="s">
        <v>135</v>
      </c>
      <c r="D91" s="32">
        <f>IFERROR(VLOOKUP("7-510204-1-M",data_code, 2,FALSE),0)</f>
        <v>0</v>
      </c>
      <c r="E91" s="18">
        <f>IFERROR(VLOOKUP("7-510204-1-F",data_code, 2,FALSE),0)</f>
        <v>0</v>
      </c>
      <c r="F91" s="4">
        <f>IFERROR(VLOOKUP("7-510204-2-M",data_code, 2,FALSE),0)</f>
        <v>0</v>
      </c>
      <c r="G91" s="18">
        <f>IFERROR(VLOOKUP("7-510204-2-F",data_code, 2,FALSE),0)</f>
        <v>0</v>
      </c>
      <c r="H91" s="32">
        <f>IFERROR(VLOOKUP("7-510204-3-M",data_code, 2,FALSE),0)</f>
        <v>0</v>
      </c>
      <c r="I91" s="18">
        <f>IFERROR(VLOOKUP("7-510204-3-F",data_code, 2,FALSE),0)</f>
        <v>0</v>
      </c>
      <c r="J91" s="32">
        <f>IFERROR(VLOOKUP("7-510204-4-M",data_code, 2,FALSE),0)</f>
        <v>0</v>
      </c>
      <c r="K91" s="18">
        <f>IFERROR(VLOOKUP("7-510204-4-F",data_code, 2,FALSE),0)</f>
        <v>0</v>
      </c>
      <c r="L91" s="4">
        <f>IFERROR(VLOOKUP("7-510204-5-M",data_code, 2,FALSE),0)</f>
        <v>0</v>
      </c>
      <c r="M91" s="18">
        <f>IFERROR(VLOOKUP("7-510204-5-F",data_code, 2,FALSE),0)</f>
        <v>2</v>
      </c>
      <c r="N91" s="4">
        <f>IFERROR(VLOOKUP("7-510204-6-M",data_code, 2,FALSE),0)</f>
        <v>0</v>
      </c>
      <c r="O91" s="18">
        <f>IFERROR(VLOOKUP("7-510204-6-F",data_code, 2,FALSE),0)</f>
        <v>0</v>
      </c>
      <c r="P91" s="4">
        <f>IFERROR(VLOOKUP("7-510204-7-M",data_code, 2,FALSE),0)</f>
        <v>0</v>
      </c>
      <c r="Q91" s="18">
        <f>IFERROR(VLOOKUP("7-510204-7-F",data_code, 2,FALSE),0)</f>
        <v>22</v>
      </c>
      <c r="R91" s="4">
        <f>IFERROR(VLOOKUP("7-510204-8-M",data_code, 2,FALSE),0)</f>
        <v>0</v>
      </c>
      <c r="S91" s="18">
        <f>IFERROR(VLOOKUP("7-510204-8-F",data_code, 2,FALSE),0)</f>
        <v>0</v>
      </c>
      <c r="T91" s="4">
        <f>IFERROR(VLOOKUP("7-510204-9-M",data_code, 2,FALSE),0)</f>
        <v>0</v>
      </c>
      <c r="U91" s="4">
        <f>IFERROR(VLOOKUP("7-510204-9-F",data_code, 2,FALSE),0)</f>
        <v>0</v>
      </c>
      <c r="V91" s="32">
        <f t="shared" si="20"/>
        <v>0</v>
      </c>
      <c r="W91" s="4">
        <f t="shared" si="21"/>
        <v>24</v>
      </c>
      <c r="X91" s="38">
        <f t="shared" si="22"/>
        <v>24</v>
      </c>
    </row>
    <row r="92" spans="1:24">
      <c r="A92" s="83"/>
      <c r="B92" s="5">
        <v>51.070700000000002</v>
      </c>
      <c r="C92" s="6" t="s">
        <v>136</v>
      </c>
      <c r="D92" s="32">
        <f>IFERROR(VLOOKUP("7-510707-1-M",data_code, 2,FALSE),0)</f>
        <v>0</v>
      </c>
      <c r="E92" s="18">
        <f>IFERROR(VLOOKUP("7-510707-1-F",data_code, 2,FALSE),0)</f>
        <v>0</v>
      </c>
      <c r="F92" s="4">
        <f>IFERROR(VLOOKUP("7-510707-2-M",data_code, 2,FALSE),0)</f>
        <v>0</v>
      </c>
      <c r="G92" s="18">
        <f>IFERROR(VLOOKUP("7-510707-2-F",data_code, 2,FALSE),0)</f>
        <v>2</v>
      </c>
      <c r="H92" s="32">
        <f>IFERROR(VLOOKUP("7-510707-3-M",data_code, 2,FALSE),0)</f>
        <v>0</v>
      </c>
      <c r="I92" s="18">
        <f>IFERROR(VLOOKUP("7-510707-3-F",data_code, 2,FALSE),0)</f>
        <v>0</v>
      </c>
      <c r="J92" s="32">
        <f>IFERROR(VLOOKUP("7-510707-4-M",data_code, 2,FALSE),0)</f>
        <v>1</v>
      </c>
      <c r="K92" s="18">
        <f>IFERROR(VLOOKUP("7-510707-4-F",data_code, 2,FALSE),0)</f>
        <v>3</v>
      </c>
      <c r="L92" s="4">
        <f>IFERROR(VLOOKUP("7-510707-5-M",data_code, 2,FALSE),0)</f>
        <v>1</v>
      </c>
      <c r="M92" s="18">
        <f>IFERROR(VLOOKUP("7-510707-5-F",data_code, 2,FALSE),0)</f>
        <v>3</v>
      </c>
      <c r="N92" s="4">
        <f>IFERROR(VLOOKUP("7-510707-6-M",data_code, 2,FALSE),0)</f>
        <v>0</v>
      </c>
      <c r="O92" s="18">
        <f>IFERROR(VLOOKUP("7-510707-6-F",data_code, 2,FALSE),0)</f>
        <v>0</v>
      </c>
      <c r="P92" s="4">
        <f>IFERROR(VLOOKUP("7-510707-7-M",data_code, 2,FALSE),0)</f>
        <v>3</v>
      </c>
      <c r="Q92" s="18">
        <f>IFERROR(VLOOKUP("7-510707-7-F",data_code, 2,FALSE),0)</f>
        <v>3</v>
      </c>
      <c r="R92" s="4">
        <f>IFERROR(VLOOKUP("7-510707-8-M",data_code, 2,FALSE),0)</f>
        <v>0</v>
      </c>
      <c r="S92" s="18">
        <f>IFERROR(VLOOKUP("7-510707-8-F",data_code, 2,FALSE),0)</f>
        <v>0</v>
      </c>
      <c r="T92" s="4">
        <f>IFERROR(VLOOKUP("7-510707-9-M",data_code, 2,FALSE),0)</f>
        <v>4</v>
      </c>
      <c r="U92" s="4">
        <f>IFERROR(VLOOKUP("7-510707-9-F",data_code, 2,FALSE),0)</f>
        <v>9</v>
      </c>
      <c r="V92" s="32">
        <f t="shared" si="20"/>
        <v>9</v>
      </c>
      <c r="W92" s="4">
        <f t="shared" si="21"/>
        <v>20</v>
      </c>
      <c r="X92" s="38">
        <f t="shared" si="22"/>
        <v>29</v>
      </c>
    </row>
    <row r="93" spans="1:24">
      <c r="A93" s="83"/>
      <c r="B93" s="5" t="s">
        <v>12</v>
      </c>
      <c r="C93" s="6" t="s">
        <v>137</v>
      </c>
      <c r="D93" s="32">
        <f>IFERROR(VLOOKUP("7-512010-1-M",data_code, 2,FALSE),0)</f>
        <v>1</v>
      </c>
      <c r="E93" s="18">
        <f>IFERROR(VLOOKUP("7-512010-1-F",data_code, 2,FALSE),0)</f>
        <v>2</v>
      </c>
      <c r="F93" s="4">
        <f>IFERROR(VLOOKUP("7-512010-2-M",data_code, 2,FALSE),0)</f>
        <v>0</v>
      </c>
      <c r="G93" s="18">
        <f>IFERROR(VLOOKUP("7-512010-2-F",data_code, 2,FALSE),0)</f>
        <v>0</v>
      </c>
      <c r="H93" s="32">
        <f>IFERROR(VLOOKUP("7-512010-3-M",data_code, 2,FALSE),0)</f>
        <v>0</v>
      </c>
      <c r="I93" s="18">
        <f>IFERROR(VLOOKUP("7-512010-3-F",data_code, 2,FALSE),0)</f>
        <v>0</v>
      </c>
      <c r="J93" s="32">
        <f>IFERROR(VLOOKUP("7-512010-4-M",data_code, 2,FALSE),0)</f>
        <v>0</v>
      </c>
      <c r="K93" s="18">
        <f>IFERROR(VLOOKUP("7-512010-4-F",data_code, 2,FALSE),0)</f>
        <v>0</v>
      </c>
      <c r="L93" s="4">
        <f>IFERROR(VLOOKUP("7-512010-5-M",data_code, 2,FALSE),0)</f>
        <v>0</v>
      </c>
      <c r="M93" s="18">
        <f>IFERROR(VLOOKUP("7-512010-5-F",data_code, 2,FALSE),0)</f>
        <v>0</v>
      </c>
      <c r="N93" s="4">
        <f>IFERROR(VLOOKUP("7-512010-6-M",data_code, 2,FALSE),0)</f>
        <v>0</v>
      </c>
      <c r="O93" s="18">
        <f>IFERROR(VLOOKUP("7-512010-6-F",data_code, 2,FALSE),0)</f>
        <v>0</v>
      </c>
      <c r="P93" s="4">
        <f>IFERROR(VLOOKUP("7-512010-7-M",data_code, 2,FALSE),0)</f>
        <v>0</v>
      </c>
      <c r="Q93" s="18">
        <f>IFERROR(VLOOKUP("7-512010-7-F",data_code, 2,FALSE),0)</f>
        <v>0</v>
      </c>
      <c r="R93" s="4">
        <f>IFERROR(VLOOKUP("7-512010-8-M",data_code, 2,FALSE),0)</f>
        <v>0</v>
      </c>
      <c r="S93" s="18">
        <f>IFERROR(VLOOKUP("7-512010-8-F",data_code, 2,FALSE),0)</f>
        <v>0</v>
      </c>
      <c r="T93" s="4">
        <f>IFERROR(VLOOKUP("7-512010-9-M",data_code, 2,FALSE),0)</f>
        <v>1</v>
      </c>
      <c r="U93" s="4">
        <f>IFERROR(VLOOKUP("7-512010-9-F",data_code, 2,FALSE),0)</f>
        <v>0</v>
      </c>
      <c r="V93" s="32">
        <f t="shared" si="20"/>
        <v>2</v>
      </c>
      <c r="W93" s="4">
        <f t="shared" si="21"/>
        <v>2</v>
      </c>
      <c r="X93" s="38">
        <f t="shared" si="22"/>
        <v>4</v>
      </c>
    </row>
    <row r="94" spans="1:24">
      <c r="A94" s="83"/>
      <c r="B94" s="5" t="s">
        <v>365</v>
      </c>
      <c r="C94" s="6" t="s">
        <v>366</v>
      </c>
      <c r="D94" s="32">
        <f>IFERROR(VLOOKUP("7-512299-1-M",data_code, 2,FALSE),0)</f>
        <v>1</v>
      </c>
      <c r="E94" s="18">
        <f>IFERROR(VLOOKUP("7-512299-1-F",data_code, 2,FALSE),0)</f>
        <v>4</v>
      </c>
      <c r="F94" s="4">
        <f>IFERROR(VLOOKUP("7-512299-2-M",data_code, 2,FALSE),0)</f>
        <v>2</v>
      </c>
      <c r="G94" s="18">
        <f>IFERROR(VLOOKUP("7-512299-2-F",data_code, 2,FALSE),0)</f>
        <v>0</v>
      </c>
      <c r="H94" s="32">
        <f>IFERROR(VLOOKUP("7-512299-3-M",data_code, 2,FALSE),0)</f>
        <v>0</v>
      </c>
      <c r="I94" s="18">
        <f>IFERROR(VLOOKUP("7-512299-3-F",data_code, 2,FALSE),0)</f>
        <v>0</v>
      </c>
      <c r="J94" s="32">
        <f>IFERROR(VLOOKUP("7-512299-4-M",data_code, 2,FALSE),0)</f>
        <v>0</v>
      </c>
      <c r="K94" s="18">
        <f>IFERROR(VLOOKUP("7-512299-4-F",data_code, 2,FALSE),0)</f>
        <v>0</v>
      </c>
      <c r="L94" s="4">
        <f>IFERROR(VLOOKUP("7-512299-5-M",data_code, 2,FALSE),0)</f>
        <v>0</v>
      </c>
      <c r="M94" s="18">
        <f>IFERROR(VLOOKUP("7-512299-5-F",data_code, 2,FALSE),0)</f>
        <v>0</v>
      </c>
      <c r="N94" s="4">
        <f>IFERROR(VLOOKUP("7-512299-6-M",data_code, 2,FALSE),0)</f>
        <v>0</v>
      </c>
      <c r="O94" s="18">
        <f>IFERROR(VLOOKUP("7-512299-6-F",data_code, 2,FALSE),0)</f>
        <v>0</v>
      </c>
      <c r="P94" s="4">
        <f>IFERROR(VLOOKUP("7-512299-7-M",data_code, 2,FALSE),0)</f>
        <v>1</v>
      </c>
      <c r="Q94" s="18">
        <f>IFERROR(VLOOKUP("7-512299-7-F",data_code, 2,FALSE),0)</f>
        <v>4</v>
      </c>
      <c r="R94" s="4">
        <f>IFERROR(VLOOKUP("7-512299-8-M",data_code, 2,FALSE),0)</f>
        <v>0</v>
      </c>
      <c r="S94" s="18">
        <f>IFERROR(VLOOKUP("7-512299-8-F",data_code, 2,FALSE),0)</f>
        <v>0</v>
      </c>
      <c r="T94" s="4">
        <f>IFERROR(VLOOKUP("7-512299-9-M",data_code, 2,FALSE),0)</f>
        <v>0</v>
      </c>
      <c r="U94" s="4">
        <f>IFERROR(VLOOKUP("7-512299-9-F",data_code, 2,FALSE),0)</f>
        <v>1</v>
      </c>
      <c r="V94" s="32">
        <f t="shared" ref="V94" si="29">SUMIF($D$2:$U$2,"Men",D94:U94)</f>
        <v>4</v>
      </c>
      <c r="W94" s="4">
        <f t="shared" ref="W94" si="30">SUMIF($D$2:$U$2,"Women",D94:U94)</f>
        <v>9</v>
      </c>
      <c r="X94" s="38">
        <f t="shared" ref="X94" si="31">SUM(V94:W94)</f>
        <v>13</v>
      </c>
    </row>
    <row r="95" spans="1:24">
      <c r="A95" s="83"/>
      <c r="B95" s="5">
        <v>51.2301</v>
      </c>
      <c r="C95" s="6" t="s">
        <v>138</v>
      </c>
      <c r="D95" s="32">
        <f>IFERROR(VLOOKUP("7-512301-1-M",data_code, 2,FALSE),0)</f>
        <v>0</v>
      </c>
      <c r="E95" s="18">
        <f>IFERROR(VLOOKUP("7-512301-1-F",data_code, 2,FALSE),0)</f>
        <v>1</v>
      </c>
      <c r="F95" s="4">
        <f>IFERROR(VLOOKUP("7-512301-2-M",data_code, 2,FALSE),0)</f>
        <v>0</v>
      </c>
      <c r="G95" s="18">
        <f>IFERROR(VLOOKUP("7-512301-2-F",data_code, 2,FALSE),0)</f>
        <v>0</v>
      </c>
      <c r="H95" s="32">
        <f>IFERROR(VLOOKUP("7-512301-3-M",data_code, 2,FALSE),0)</f>
        <v>0</v>
      </c>
      <c r="I95" s="18">
        <f>IFERROR(VLOOKUP("7-512301-3-F",data_code, 2,FALSE),0)</f>
        <v>0</v>
      </c>
      <c r="J95" s="32">
        <f>IFERROR(VLOOKUP("7-512301-4-M",data_code, 2,FALSE),0)</f>
        <v>0</v>
      </c>
      <c r="K95" s="18">
        <f>IFERROR(VLOOKUP("7-512301-4-F",data_code, 2,FALSE),0)</f>
        <v>0</v>
      </c>
      <c r="L95" s="4">
        <f>IFERROR(VLOOKUP("7-512301-5-M",data_code, 2,FALSE),0)</f>
        <v>0</v>
      </c>
      <c r="M95" s="18">
        <f>IFERROR(VLOOKUP("7-512301-5-F",data_code, 2,FALSE),0)</f>
        <v>1</v>
      </c>
      <c r="N95" s="4">
        <f>IFERROR(VLOOKUP("7-512301-6-M",data_code, 2,FALSE),0)</f>
        <v>0</v>
      </c>
      <c r="O95" s="18">
        <f>IFERROR(VLOOKUP("7-512301-6-F",data_code, 2,FALSE),0)</f>
        <v>0</v>
      </c>
      <c r="P95" s="4">
        <f>IFERROR(VLOOKUP("7-512301-7-M",data_code, 2,FALSE),0)</f>
        <v>0</v>
      </c>
      <c r="Q95" s="18">
        <f>IFERROR(VLOOKUP("7-512301-7-F",data_code, 2,FALSE),0)</f>
        <v>4</v>
      </c>
      <c r="R95" s="4">
        <f>IFERROR(VLOOKUP("7-512301-8-M",data_code, 2,FALSE),0)</f>
        <v>0</v>
      </c>
      <c r="S95" s="18">
        <f>IFERROR(VLOOKUP("7-512301-8-F",data_code, 2,FALSE),0)</f>
        <v>0</v>
      </c>
      <c r="T95" s="4">
        <f>IFERROR(VLOOKUP("7-512301-9-M",data_code, 2,FALSE),0)</f>
        <v>0</v>
      </c>
      <c r="U95" s="4">
        <f>IFERROR(VLOOKUP("7-512301-9-F",data_code, 2,FALSE),0)</f>
        <v>1</v>
      </c>
      <c r="V95" s="32">
        <f t="shared" si="20"/>
        <v>0</v>
      </c>
      <c r="W95" s="4">
        <f t="shared" si="21"/>
        <v>7</v>
      </c>
      <c r="X95" s="38">
        <f t="shared" si="22"/>
        <v>7</v>
      </c>
    </row>
    <row r="96" spans="1:24">
      <c r="A96" s="83"/>
      <c r="B96" s="5" t="s">
        <v>147</v>
      </c>
      <c r="C96" s="6" t="s">
        <v>148</v>
      </c>
      <c r="D96" s="32">
        <f>IFERROR(VLOOKUP("7-513101-1-M",data_code, 2,FALSE),0)</f>
        <v>0</v>
      </c>
      <c r="E96" s="18">
        <f>IFERROR(VLOOKUP("7-513101-1-F",data_code, 2,FALSE),0)</f>
        <v>1</v>
      </c>
      <c r="F96" s="4">
        <f>IFERROR(VLOOKUP("7-513101-2-M",data_code, 2,FALSE),0)</f>
        <v>1</v>
      </c>
      <c r="G96" s="18">
        <f>IFERROR(VLOOKUP("7-513101-2-F",data_code, 2,FALSE),0)</f>
        <v>0</v>
      </c>
      <c r="H96" s="32">
        <f>IFERROR(VLOOKUP("7-513101-3-M",data_code, 2,FALSE),0)</f>
        <v>0</v>
      </c>
      <c r="I96" s="18">
        <f>IFERROR(VLOOKUP("7-513101-3-F",data_code, 2,FALSE),0)</f>
        <v>0</v>
      </c>
      <c r="J96" s="32">
        <f>IFERROR(VLOOKUP("7-513101-4-M",data_code, 2,FALSE),0)</f>
        <v>0</v>
      </c>
      <c r="K96" s="18">
        <f>IFERROR(VLOOKUP("7-513101-4-F",data_code, 2,FALSE),0)</f>
        <v>0</v>
      </c>
      <c r="L96" s="4">
        <f>IFERROR(VLOOKUP("7-513101-5-M",data_code, 2,FALSE),0)</f>
        <v>0</v>
      </c>
      <c r="M96" s="18">
        <f>IFERROR(VLOOKUP("7-513101-5-F",data_code, 2,FALSE),0)</f>
        <v>0</v>
      </c>
      <c r="N96" s="4">
        <f>IFERROR(VLOOKUP("7-513101-6-M",data_code, 2,FALSE),0)</f>
        <v>0</v>
      </c>
      <c r="O96" s="18">
        <f>IFERROR(VLOOKUP("7-513101-6-F",data_code, 2,FALSE),0)</f>
        <v>0</v>
      </c>
      <c r="P96" s="4">
        <f>IFERROR(VLOOKUP("7-513101-7-M",data_code, 2,FALSE),0)</f>
        <v>1</v>
      </c>
      <c r="Q96" s="18">
        <f>IFERROR(VLOOKUP("7-513101-7-F",data_code, 2,FALSE),0)</f>
        <v>3</v>
      </c>
      <c r="R96" s="4">
        <f>IFERROR(VLOOKUP("7-513101-8-M",data_code, 2,FALSE),0)</f>
        <v>0</v>
      </c>
      <c r="S96" s="18">
        <f>IFERROR(VLOOKUP("7-513101-8-F",data_code, 2,FALSE),0)</f>
        <v>1</v>
      </c>
      <c r="T96" s="4">
        <f>IFERROR(VLOOKUP("7-513101-9-M",data_code, 2,FALSE),0)</f>
        <v>1</v>
      </c>
      <c r="U96" s="4">
        <f>IFERROR(VLOOKUP("7-513101-9-F",data_code, 2,FALSE),0)</f>
        <v>0</v>
      </c>
      <c r="V96" s="32">
        <f t="shared" si="20"/>
        <v>3</v>
      </c>
      <c r="W96" s="4">
        <f t="shared" si="21"/>
        <v>5</v>
      </c>
      <c r="X96" s="38">
        <f t="shared" si="22"/>
        <v>8</v>
      </c>
    </row>
    <row r="97" spans="1:24">
      <c r="A97" s="83"/>
      <c r="B97" s="5">
        <v>51.320300000000003</v>
      </c>
      <c r="C97" s="6" t="s">
        <v>139</v>
      </c>
      <c r="D97" s="32">
        <f>IFERROR(VLOOKUP("7-513203-1-M",data_code, 2,FALSE),0)</f>
        <v>0</v>
      </c>
      <c r="E97" s="18">
        <f>IFERROR(VLOOKUP("7-513203-1-F",data_code, 2,FALSE),0)</f>
        <v>0</v>
      </c>
      <c r="F97" s="4">
        <f>IFERROR(VLOOKUP("7-513203-2-M",data_code, 2,FALSE),0)</f>
        <v>0</v>
      </c>
      <c r="G97" s="18">
        <f>IFERROR(VLOOKUP("7-513203-2-F",data_code, 2,FALSE),0)</f>
        <v>0</v>
      </c>
      <c r="H97" s="32">
        <f>IFERROR(VLOOKUP("7-513203-3-M",data_code, 2,FALSE),0)</f>
        <v>0</v>
      </c>
      <c r="I97" s="18">
        <f>IFERROR(VLOOKUP("7-513203-3-F",data_code, 2,FALSE),0)</f>
        <v>0</v>
      </c>
      <c r="J97" s="32">
        <f>IFERROR(VLOOKUP("7-513203-4-M",data_code, 2,FALSE),0)</f>
        <v>1</v>
      </c>
      <c r="K97" s="18">
        <f>IFERROR(VLOOKUP("7-513203-4-F",data_code, 2,FALSE),0)</f>
        <v>2</v>
      </c>
      <c r="L97" s="4">
        <f>IFERROR(VLOOKUP("7-513203-5-M",data_code, 2,FALSE),0)</f>
        <v>0</v>
      </c>
      <c r="M97" s="18">
        <f>IFERROR(VLOOKUP("7-513203-5-F",data_code, 2,FALSE),0)</f>
        <v>1</v>
      </c>
      <c r="N97" s="4">
        <f>IFERROR(VLOOKUP("7-513203-6-M",data_code, 2,FALSE),0)</f>
        <v>0</v>
      </c>
      <c r="O97" s="18">
        <f>IFERROR(VLOOKUP("7-513203-6-F",data_code, 2,FALSE),0)</f>
        <v>0</v>
      </c>
      <c r="P97" s="4">
        <f>IFERROR(VLOOKUP("7-513203-7-M",data_code, 2,FALSE),0)</f>
        <v>1</v>
      </c>
      <c r="Q97" s="18">
        <f>IFERROR(VLOOKUP("7-513203-7-F",data_code, 2,FALSE),0)</f>
        <v>10</v>
      </c>
      <c r="R97" s="4">
        <f>IFERROR(VLOOKUP("7-513203-8-M",data_code, 2,FALSE),0)</f>
        <v>0</v>
      </c>
      <c r="S97" s="18">
        <f>IFERROR(VLOOKUP("7-513203-8-F",data_code, 2,FALSE),0)</f>
        <v>0</v>
      </c>
      <c r="T97" s="4">
        <f>IFERROR(VLOOKUP("7-513203-9-M",data_code, 2,FALSE),0)</f>
        <v>0</v>
      </c>
      <c r="U97" s="4">
        <f>IFERROR(VLOOKUP("7-513203-9-F",data_code, 2,FALSE),0)</f>
        <v>5</v>
      </c>
      <c r="V97" s="32">
        <f t="shared" si="20"/>
        <v>2</v>
      </c>
      <c r="W97" s="4">
        <f t="shared" si="21"/>
        <v>18</v>
      </c>
      <c r="X97" s="38">
        <f t="shared" si="22"/>
        <v>20</v>
      </c>
    </row>
    <row r="98" spans="1:24">
      <c r="A98" s="83"/>
      <c r="B98" s="5">
        <v>51.380200000000002</v>
      </c>
      <c r="C98" s="6" t="s">
        <v>140</v>
      </c>
      <c r="D98" s="32">
        <f>IFERROR(VLOOKUP("7-513802-1-M",data_code, 2,FALSE),0)</f>
        <v>0</v>
      </c>
      <c r="E98" s="18">
        <f>IFERROR(VLOOKUP("7-513802-1-F",data_code, 2,FALSE),0)</f>
        <v>0</v>
      </c>
      <c r="F98" s="4">
        <f>IFERROR(VLOOKUP("7-513802-2-M",data_code, 2,FALSE),0)</f>
        <v>0</v>
      </c>
      <c r="G98" s="18">
        <f>IFERROR(VLOOKUP("7-513802-2-F",data_code, 2,FALSE),0)</f>
        <v>1</v>
      </c>
      <c r="H98" s="32">
        <f>IFERROR(VLOOKUP("7-513802-3-M",data_code, 2,FALSE),0)</f>
        <v>0</v>
      </c>
      <c r="I98" s="18">
        <f>IFERROR(VLOOKUP("7-513802-3-F",data_code, 2,FALSE),0)</f>
        <v>0</v>
      </c>
      <c r="J98" s="32">
        <f>IFERROR(VLOOKUP("7-513802-4-M",data_code, 2,FALSE),0)</f>
        <v>0</v>
      </c>
      <c r="K98" s="18">
        <f>IFERROR(VLOOKUP("7-513802-4-F",data_code, 2,FALSE),0)</f>
        <v>0</v>
      </c>
      <c r="L98" s="4">
        <f>IFERROR(VLOOKUP("7-513802-5-M",data_code, 2,FALSE),0)</f>
        <v>0</v>
      </c>
      <c r="M98" s="18">
        <f>IFERROR(VLOOKUP("7-513802-5-F",data_code, 2,FALSE),0)</f>
        <v>1</v>
      </c>
      <c r="N98" s="4">
        <f>IFERROR(VLOOKUP("7-513802-6-M",data_code, 2,FALSE),0)</f>
        <v>0</v>
      </c>
      <c r="O98" s="18">
        <f>IFERROR(VLOOKUP("7-513802-6-F",data_code, 2,FALSE),0)</f>
        <v>0</v>
      </c>
      <c r="P98" s="4">
        <f>IFERROR(VLOOKUP("7-513802-7-M",data_code, 2,FALSE),0)</f>
        <v>1</v>
      </c>
      <c r="Q98" s="18">
        <f>IFERROR(VLOOKUP("7-513802-7-F",data_code, 2,FALSE),0)</f>
        <v>6</v>
      </c>
      <c r="R98" s="4">
        <f>IFERROR(VLOOKUP("7-513802-8-M",data_code, 2,FALSE),0)</f>
        <v>0</v>
      </c>
      <c r="S98" s="18">
        <f>IFERROR(VLOOKUP("7-513802-8-F",data_code, 2,FALSE),0)</f>
        <v>0</v>
      </c>
      <c r="T98" s="4">
        <f>IFERROR(VLOOKUP("7-513802-9-M",data_code, 2,FALSE),0)</f>
        <v>0</v>
      </c>
      <c r="U98" s="4">
        <f>IFERROR(VLOOKUP("7-513802-9-F",data_code, 2,FALSE),0)</f>
        <v>5</v>
      </c>
      <c r="V98" s="32">
        <f t="shared" si="20"/>
        <v>1</v>
      </c>
      <c r="W98" s="4">
        <f t="shared" si="21"/>
        <v>13</v>
      </c>
      <c r="X98" s="38">
        <f t="shared" si="22"/>
        <v>14</v>
      </c>
    </row>
    <row r="99" spans="1:24">
      <c r="A99" s="83"/>
      <c r="B99" s="5" t="s">
        <v>980</v>
      </c>
      <c r="C99" s="6" t="s">
        <v>142</v>
      </c>
      <c r="D99" s="32">
        <f>IFERROR(VLOOKUP("7-520301-1-M",data_code, 2,FALSE),0)</f>
        <v>1</v>
      </c>
      <c r="E99" s="18">
        <f>IFERROR(VLOOKUP("7-520301-1-F",data_code, 2,FALSE),0)</f>
        <v>1</v>
      </c>
      <c r="F99" s="4">
        <f>IFERROR(VLOOKUP("7-520301-2-M",data_code, 2,FALSE),0)</f>
        <v>0</v>
      </c>
      <c r="G99" s="18">
        <f>IFERROR(VLOOKUP("7-520301-2-F",data_code, 2,FALSE),0)</f>
        <v>0</v>
      </c>
      <c r="H99" s="32">
        <f>IFERROR(VLOOKUP("7-520301-3-M",data_code, 2,FALSE),0)</f>
        <v>0</v>
      </c>
      <c r="I99" s="18">
        <f>IFERROR(VLOOKUP("7-520301-3-F",data_code, 2,FALSE),0)</f>
        <v>0</v>
      </c>
      <c r="J99" s="32">
        <f>IFERROR(VLOOKUP("7-520301-4-M",data_code, 2,FALSE),0)</f>
        <v>0</v>
      </c>
      <c r="K99" s="18">
        <f>IFERROR(VLOOKUP("7-520301-4-F",data_code, 2,FALSE),0)</f>
        <v>1</v>
      </c>
      <c r="L99" s="4">
        <f>IFERROR(VLOOKUP("7-520301-5-M",data_code, 2,FALSE),0)</f>
        <v>2</v>
      </c>
      <c r="M99" s="18">
        <f>IFERROR(VLOOKUP("7-520301-5-F",data_code, 2,FALSE),0)</f>
        <v>0</v>
      </c>
      <c r="N99" s="4">
        <f>IFERROR(VLOOKUP("7-520301-6-M",data_code, 2,FALSE),0)</f>
        <v>0</v>
      </c>
      <c r="O99" s="18">
        <f>IFERROR(VLOOKUP("7-520301-6-F",data_code, 2,FALSE),0)</f>
        <v>0</v>
      </c>
      <c r="P99" s="4">
        <f>IFERROR(VLOOKUP("7-520301-7-M",data_code, 2,FALSE),0)</f>
        <v>9</v>
      </c>
      <c r="Q99" s="18">
        <f>IFERROR(VLOOKUP("7-520301-7-F",data_code, 2,FALSE),0)</f>
        <v>3</v>
      </c>
      <c r="R99" s="4">
        <f>IFERROR(VLOOKUP("7-520301-8-M",data_code, 2,FALSE),0)</f>
        <v>0</v>
      </c>
      <c r="S99" s="18">
        <f>IFERROR(VLOOKUP("7-520301-8-F",data_code, 2,FALSE),0)</f>
        <v>0</v>
      </c>
      <c r="T99" s="4">
        <f>IFERROR(VLOOKUP("7-520301-9-M",data_code, 2,FALSE),0)</f>
        <v>1</v>
      </c>
      <c r="U99" s="4">
        <f>IFERROR(VLOOKUP("7-520301-9-F",data_code, 2,FALSE),0)</f>
        <v>1</v>
      </c>
      <c r="V99" s="32">
        <f t="shared" si="20"/>
        <v>13</v>
      </c>
      <c r="W99" s="4">
        <f t="shared" si="21"/>
        <v>6</v>
      </c>
      <c r="X99" s="38">
        <f t="shared" si="22"/>
        <v>19</v>
      </c>
    </row>
    <row r="100" spans="1:24">
      <c r="A100" s="83"/>
      <c r="B100" s="5" t="s">
        <v>731</v>
      </c>
      <c r="C100" s="6" t="s">
        <v>141</v>
      </c>
      <c r="D100" s="32">
        <f>IFERROR(VLOOKUP("7-521399-1-M",data_code, 2,FALSE),0)</f>
        <v>2</v>
      </c>
      <c r="E100" s="18">
        <f>IFERROR(VLOOKUP("7-521399-1-F",data_code, 2,FALSE),0)</f>
        <v>5</v>
      </c>
      <c r="F100" s="4">
        <f>IFERROR(VLOOKUP("7-521399-2-M",data_code, 2,FALSE),0)</f>
        <v>5</v>
      </c>
      <c r="G100" s="18">
        <f>IFERROR(VLOOKUP("7-521399-2-F",data_code, 2,FALSE),0)</f>
        <v>4</v>
      </c>
      <c r="H100" s="32">
        <f>IFERROR(VLOOKUP("7-521399-3-M",data_code, 2,FALSE),0)</f>
        <v>0</v>
      </c>
      <c r="I100" s="18">
        <f>IFERROR(VLOOKUP("7-521399-3-F",data_code, 2,FALSE),0)</f>
        <v>0</v>
      </c>
      <c r="J100" s="32">
        <f>IFERROR(VLOOKUP("7-521399-4-M",data_code, 2,FALSE),0)</f>
        <v>1</v>
      </c>
      <c r="K100" s="18">
        <f>IFERROR(VLOOKUP("7-521399-4-F",data_code, 2,FALSE),0)</f>
        <v>6</v>
      </c>
      <c r="L100" s="4">
        <f>IFERROR(VLOOKUP("7-521399-5-M",data_code, 2,FALSE),0)</f>
        <v>7</v>
      </c>
      <c r="M100" s="18">
        <f>IFERROR(VLOOKUP("7-521399-5-F",data_code, 2,FALSE),0)</f>
        <v>11</v>
      </c>
      <c r="N100" s="4">
        <f>IFERROR(VLOOKUP("7-521399-6-M",data_code, 2,FALSE),0)</f>
        <v>0</v>
      </c>
      <c r="O100" s="18">
        <f>IFERROR(VLOOKUP("7-521399-6-F",data_code, 2,FALSE),0)</f>
        <v>0</v>
      </c>
      <c r="P100" s="4">
        <f>IFERROR(VLOOKUP("7-521399-7-M",data_code, 2,FALSE),0)</f>
        <v>47</v>
      </c>
      <c r="Q100" s="18">
        <f>IFERROR(VLOOKUP("7-521399-7-F",data_code, 2,FALSE),0)</f>
        <v>46</v>
      </c>
      <c r="R100" s="4">
        <f>IFERROR(VLOOKUP("7-521399-8-M",data_code, 2,FALSE),0)</f>
        <v>2</v>
      </c>
      <c r="S100" s="18">
        <f>IFERROR(VLOOKUP("7-521399-8-F",data_code, 2,FALSE),0)</f>
        <v>4</v>
      </c>
      <c r="T100" s="4">
        <f>IFERROR(VLOOKUP("7-521399-9-M",data_code, 2,FALSE),0)</f>
        <v>25</v>
      </c>
      <c r="U100" s="4">
        <f>IFERROR(VLOOKUP("7-521399-9-F",data_code, 2,FALSE),0)</f>
        <v>37</v>
      </c>
      <c r="V100" s="32">
        <f t="shared" ref="V100" si="32">SUMIF($D$2:$U$2,"Men",D100:U100)</f>
        <v>89</v>
      </c>
      <c r="W100" s="4">
        <f t="shared" ref="W100" si="33">SUMIF($D$2:$U$2,"Women",D100:U100)</f>
        <v>113</v>
      </c>
      <c r="X100" s="38">
        <f t="shared" ref="X100" si="34">SUM(V100:W100)</f>
        <v>202</v>
      </c>
    </row>
    <row r="101" spans="1:24">
      <c r="A101" s="83"/>
      <c r="B101" s="5">
        <v>52.1402</v>
      </c>
      <c r="C101" s="6" t="s">
        <v>143</v>
      </c>
      <c r="D101" s="32">
        <f>IFERROR(VLOOKUP("7-521402-1-M",data_code, 2,FALSE),0)</f>
        <v>1</v>
      </c>
      <c r="E101" s="18">
        <f>IFERROR(VLOOKUP("7-521402-1-F",data_code, 2,FALSE),0)</f>
        <v>0</v>
      </c>
      <c r="F101" s="4">
        <f>IFERROR(VLOOKUP("7-521402-2-M",data_code, 2,FALSE),0)</f>
        <v>0</v>
      </c>
      <c r="G101" s="18">
        <f>IFERROR(VLOOKUP("7-521402-2-F",data_code, 2,FALSE),0)</f>
        <v>0</v>
      </c>
      <c r="H101" s="32">
        <f>IFERROR(VLOOKUP("7-521402-3-M",data_code, 2,FALSE),0)</f>
        <v>0</v>
      </c>
      <c r="I101" s="18">
        <f>IFERROR(VLOOKUP("7-521402-3-F",data_code, 2,FALSE),0)</f>
        <v>0</v>
      </c>
      <c r="J101" s="32">
        <f>IFERROR(VLOOKUP("7-521402-4-M",data_code, 2,FALSE),0)</f>
        <v>0</v>
      </c>
      <c r="K101" s="18">
        <f>IFERROR(VLOOKUP("7-521402-4-F",data_code, 2,FALSE),0)</f>
        <v>0</v>
      </c>
      <c r="L101" s="4">
        <f>IFERROR(VLOOKUP("7-521402-5-M",data_code, 2,FALSE),0)</f>
        <v>0</v>
      </c>
      <c r="M101" s="18">
        <f>IFERROR(VLOOKUP("7-521402-5-F",data_code, 2,FALSE),0)</f>
        <v>0</v>
      </c>
      <c r="N101" s="4">
        <f>IFERROR(VLOOKUP("7-521402-6-M",data_code, 2,FALSE),0)</f>
        <v>0</v>
      </c>
      <c r="O101" s="18">
        <f>IFERROR(VLOOKUP("7-521402-6-F",data_code, 2,FALSE),0)</f>
        <v>0</v>
      </c>
      <c r="P101" s="4">
        <f>IFERROR(VLOOKUP("7-521402-7-M",data_code, 2,FALSE),0)</f>
        <v>2</v>
      </c>
      <c r="Q101" s="18">
        <f>IFERROR(VLOOKUP("7-521402-7-F",data_code, 2,FALSE),0)</f>
        <v>3</v>
      </c>
      <c r="R101" s="4">
        <f>IFERROR(VLOOKUP("7-521402-8-M",data_code, 2,FALSE),0)</f>
        <v>0</v>
      </c>
      <c r="S101" s="18">
        <f>IFERROR(VLOOKUP("7-521402-8-F",data_code, 2,FALSE),0)</f>
        <v>1</v>
      </c>
      <c r="T101" s="4">
        <f>IFERROR(VLOOKUP("7-521402-9-M",data_code, 2,FALSE),0)</f>
        <v>1</v>
      </c>
      <c r="U101" s="4">
        <f>IFERROR(VLOOKUP("7-521402-9-F",data_code, 2,FALSE),0)</f>
        <v>1</v>
      </c>
      <c r="V101" s="32">
        <f t="shared" si="20"/>
        <v>4</v>
      </c>
      <c r="W101" s="4">
        <f t="shared" si="21"/>
        <v>5</v>
      </c>
      <c r="X101" s="38">
        <f t="shared" si="22"/>
        <v>9</v>
      </c>
    </row>
    <row r="102" spans="1:24">
      <c r="A102" s="83"/>
      <c r="B102" s="8">
        <v>54.010100000000001</v>
      </c>
      <c r="C102" s="9" t="s">
        <v>144</v>
      </c>
      <c r="D102" s="32">
        <f>IFERROR(VLOOKUP("7-540101-1-M",data_code, 2,FALSE),0)</f>
        <v>0</v>
      </c>
      <c r="E102" s="18">
        <f>IFERROR(VLOOKUP("7-540101-1-F",data_code, 2,FALSE),0)</f>
        <v>0</v>
      </c>
      <c r="F102" s="4">
        <f>IFERROR(VLOOKUP("7-540101-2-M",data_code, 2,FALSE),0)</f>
        <v>2</v>
      </c>
      <c r="G102" s="18">
        <f>IFERROR(VLOOKUP("7-540101-2-F",data_code, 2,FALSE),0)</f>
        <v>0</v>
      </c>
      <c r="H102" s="32">
        <f>IFERROR(VLOOKUP("7-540101-3-M",data_code, 2,FALSE),0)</f>
        <v>0</v>
      </c>
      <c r="I102" s="18">
        <f>IFERROR(VLOOKUP("7-540101-3-F",data_code, 2,FALSE),0)</f>
        <v>0</v>
      </c>
      <c r="J102" s="19">
        <f>IFERROR(VLOOKUP("7-540101-4-M",data_code, 2,FALSE),0)</f>
        <v>0</v>
      </c>
      <c r="K102" s="50">
        <f>IFERROR(VLOOKUP("7-540101-4-F",data_code, 2,FALSE),0)</f>
        <v>0</v>
      </c>
      <c r="L102" s="4">
        <f>IFERROR(VLOOKUP("7-540101-5-M",data_code, 2,FALSE),0)</f>
        <v>0</v>
      </c>
      <c r="M102" s="18">
        <f>IFERROR(VLOOKUP("7-540101-5-F",data_code, 2,FALSE),0)</f>
        <v>0</v>
      </c>
      <c r="N102" s="4">
        <f>IFERROR(VLOOKUP("7-540101-6-M",data_code, 2,FALSE),0)</f>
        <v>0</v>
      </c>
      <c r="O102" s="18">
        <f>IFERROR(VLOOKUP("7-540101-6-F",data_code, 2,FALSE),0)</f>
        <v>0</v>
      </c>
      <c r="P102" s="4">
        <f>IFERROR(VLOOKUP("7-540101-7-M",data_code, 2,FALSE),0)</f>
        <v>0</v>
      </c>
      <c r="Q102" s="18">
        <f>IFERROR(VLOOKUP("7-540101-7-F",data_code, 2,FALSE),0)</f>
        <v>1</v>
      </c>
      <c r="R102" s="4">
        <f>IFERROR(VLOOKUP("7-540101-8-M",data_code, 2,FALSE),0)</f>
        <v>0</v>
      </c>
      <c r="S102" s="18">
        <f>IFERROR(VLOOKUP("7-540101-8-F",data_code, 2,FALSE),0)</f>
        <v>0</v>
      </c>
      <c r="T102" s="4">
        <f>IFERROR(VLOOKUP("7-540101-9-M",data_code, 2,FALSE),0)</f>
        <v>0</v>
      </c>
      <c r="U102" s="4">
        <f>IFERROR(VLOOKUP("7-540101-9-F",data_code, 2,FALSE),0)</f>
        <v>0</v>
      </c>
      <c r="V102" s="19">
        <f t="shared" si="20"/>
        <v>2</v>
      </c>
      <c r="W102" s="10">
        <f t="shared" si="21"/>
        <v>1</v>
      </c>
      <c r="X102" s="39">
        <f t="shared" si="22"/>
        <v>3</v>
      </c>
    </row>
    <row r="103" spans="1:24">
      <c r="A103" s="84"/>
      <c r="B103" s="85" t="s">
        <v>32</v>
      </c>
      <c r="C103" s="86"/>
      <c r="D103" s="33">
        <f t="shared" ref="D103:U103" si="35">SUM(D60:D102)</f>
        <v>144</v>
      </c>
      <c r="E103" s="31">
        <f t="shared" si="35"/>
        <v>101</v>
      </c>
      <c r="F103" s="30">
        <f t="shared" si="35"/>
        <v>16</v>
      </c>
      <c r="G103" s="31">
        <f t="shared" si="35"/>
        <v>16</v>
      </c>
      <c r="H103" s="33">
        <f t="shared" si="35"/>
        <v>0</v>
      </c>
      <c r="I103" s="31">
        <f t="shared" si="35"/>
        <v>1</v>
      </c>
      <c r="J103" s="30">
        <f t="shared" si="35"/>
        <v>6</v>
      </c>
      <c r="K103" s="31">
        <f t="shared" si="35"/>
        <v>14</v>
      </c>
      <c r="L103" s="30">
        <f t="shared" si="35"/>
        <v>21</v>
      </c>
      <c r="M103" s="31">
        <f t="shared" si="35"/>
        <v>47</v>
      </c>
      <c r="N103" s="30">
        <f t="shared" si="35"/>
        <v>1</v>
      </c>
      <c r="O103" s="31">
        <f t="shared" si="35"/>
        <v>0</v>
      </c>
      <c r="P103" s="30">
        <f t="shared" si="35"/>
        <v>117</v>
      </c>
      <c r="Q103" s="31">
        <f t="shared" si="35"/>
        <v>216</v>
      </c>
      <c r="R103" s="30">
        <f t="shared" si="35"/>
        <v>5</v>
      </c>
      <c r="S103" s="31">
        <f t="shared" si="35"/>
        <v>10</v>
      </c>
      <c r="T103" s="30">
        <f t="shared" si="35"/>
        <v>62</v>
      </c>
      <c r="U103" s="31">
        <f t="shared" si="35"/>
        <v>118</v>
      </c>
      <c r="V103" s="33">
        <f t="shared" si="20"/>
        <v>372</v>
      </c>
      <c r="W103" s="31">
        <f t="shared" si="21"/>
        <v>523</v>
      </c>
      <c r="X103" s="31">
        <f t="shared" si="22"/>
        <v>895</v>
      </c>
    </row>
    <row r="104" spans="1:24" ht="15" customHeight="1">
      <c r="A104" s="82" t="s">
        <v>58</v>
      </c>
      <c r="B104" s="7">
        <v>13.040100000000001</v>
      </c>
      <c r="C104" s="6" t="s">
        <v>145</v>
      </c>
      <c r="D104" s="15">
        <f>IFERROR(VLOOKUP("8-130401-EDAD-1-M",data_code, 2,FALSE),0)</f>
        <v>0</v>
      </c>
      <c r="E104" s="17">
        <f>IFERROR(VLOOKUP("8-130401-EDAD-1-F",data_code, 2,FALSE),0)</f>
        <v>0</v>
      </c>
      <c r="F104" s="16">
        <f>IFERROR(VLOOKUP("8-130401-EDAD-2-M",data_code, 2,FALSE),0)</f>
        <v>0</v>
      </c>
      <c r="G104" s="17">
        <f>IFERROR(VLOOKUP("8-130401-EDAD-2-F",data_code, 2,FALSE),0)</f>
        <v>1</v>
      </c>
      <c r="H104" s="16">
        <f>IFERROR(VLOOKUP("8-130401-EDAD-3-M",data_code, 2,FALSE),0)</f>
        <v>0</v>
      </c>
      <c r="I104" s="17">
        <f>IFERROR(VLOOKUP("8-130401-EDAD-3-F",data_code, 2,FALSE),0)</f>
        <v>0</v>
      </c>
      <c r="J104" s="16">
        <f>IFERROR(VLOOKUP("8-130401-EDAD-4-M",data_code, 2,FALSE),0)</f>
        <v>0</v>
      </c>
      <c r="K104" s="17">
        <f>IFERROR(VLOOKUP("8-130401-EDAD-4-F",data_code, 2,FALSE),0)</f>
        <v>0</v>
      </c>
      <c r="L104" s="16">
        <f>IFERROR(VLOOKUP("8-130401-EDAD-5-M",data_code, 2,FALSE),0)</f>
        <v>0</v>
      </c>
      <c r="M104" s="17">
        <f>IFERROR(VLOOKUP("8-130401-EDAD-5-F",data_code, 2,FALSE),0)</f>
        <v>11</v>
      </c>
      <c r="N104" s="16">
        <f>IFERROR(VLOOKUP("8-130401-EDAD-6-M",data_code, 2,FALSE),0)</f>
        <v>0</v>
      </c>
      <c r="O104" s="17">
        <f>IFERROR(VLOOKUP("8-130401-EDAD-6-F",data_code, 2,FALSE),0)</f>
        <v>0</v>
      </c>
      <c r="P104" s="16">
        <f>IFERROR(VLOOKUP("8-130401-EDAD-7-M",data_code, 2,FALSE),0)</f>
        <v>6</v>
      </c>
      <c r="Q104" s="17">
        <f>IFERROR(VLOOKUP("8-130401-EDAD-7-F",data_code, 2,FALSE),0)</f>
        <v>6</v>
      </c>
      <c r="R104" s="16">
        <f>IFERROR(VLOOKUP("8-130401-EDAD-8-M",data_code, 2,FALSE),0)</f>
        <v>0</v>
      </c>
      <c r="S104" s="17">
        <f>IFERROR(VLOOKUP("8-130401-EDAD-8-F",data_code, 2,FALSE),0)</f>
        <v>1</v>
      </c>
      <c r="T104" s="16">
        <f>IFERROR(VLOOKUP("8-130401-EDAD-9-M",data_code, 2,FALSE),0)</f>
        <v>8</v>
      </c>
      <c r="U104" s="16">
        <f>IFERROR(VLOOKUP("8-130401-EDAD-9-F",data_code, 2,FALSE),0)</f>
        <v>12</v>
      </c>
      <c r="V104" s="15">
        <f t="shared" si="20"/>
        <v>14</v>
      </c>
      <c r="W104" s="17">
        <f t="shared" si="21"/>
        <v>31</v>
      </c>
      <c r="X104" s="26">
        <f t="shared" si="22"/>
        <v>45</v>
      </c>
    </row>
    <row r="105" spans="1:24">
      <c r="A105" s="83"/>
      <c r="B105" s="5">
        <v>42.280500000000004</v>
      </c>
      <c r="C105" s="6" t="s">
        <v>146</v>
      </c>
      <c r="D105" s="32">
        <f>IFERROR(VLOOKUP("8-422805-PSSS-1-M",data_code, 2,FALSE),0)</f>
        <v>0</v>
      </c>
      <c r="E105" s="18">
        <f>IFERROR(VLOOKUP("8-422805-PSSS-1-F",data_code, 2,FALSE),0)</f>
        <v>0</v>
      </c>
      <c r="F105" s="4">
        <f>IFERROR(VLOOKUP("8-422805-PSSS-2-M",data_code, 2,FALSE),0)</f>
        <v>0</v>
      </c>
      <c r="G105" s="18">
        <f>IFERROR(VLOOKUP("8-422805-PSSS-2-F",data_code, 2,FALSE),0)</f>
        <v>1</v>
      </c>
      <c r="H105" s="4">
        <f>IFERROR(VLOOKUP("8-422805-PSSS-3-M",data_code, 2,FALSE),0)</f>
        <v>0</v>
      </c>
      <c r="I105" s="18">
        <f>IFERROR(VLOOKUP("8-422805-PSSS-3-F",data_code, 2,FALSE),0)</f>
        <v>0</v>
      </c>
      <c r="J105" s="4">
        <f>IFERROR(VLOOKUP("8-422805-PSSS-4-M",data_code, 2,FALSE),0)</f>
        <v>0</v>
      </c>
      <c r="K105" s="18">
        <f>IFERROR(VLOOKUP("8-422805-PSSS-4-F",data_code, 2,FALSE),0)</f>
        <v>0</v>
      </c>
      <c r="L105" s="4">
        <f>IFERROR(VLOOKUP("8-422805-PSSS-5-M",data_code, 2,FALSE),0)</f>
        <v>0</v>
      </c>
      <c r="M105" s="18">
        <f>IFERROR(VLOOKUP("8-422805-PSSS-5-F",data_code, 2,FALSE),0)</f>
        <v>0</v>
      </c>
      <c r="N105" s="4">
        <f>IFERROR(VLOOKUP("8-422805-PSSS-6-M",data_code, 2,FALSE),0)</f>
        <v>0</v>
      </c>
      <c r="O105" s="18">
        <f>IFERROR(VLOOKUP("8-422805-PSSS-6-F",data_code, 2,FALSE),0)</f>
        <v>0</v>
      </c>
      <c r="P105" s="4">
        <f>IFERROR(VLOOKUP("8-422805-PSSS-7-M",data_code, 2,FALSE),0)</f>
        <v>1</v>
      </c>
      <c r="Q105" s="18">
        <f>IFERROR(VLOOKUP("8-422805-PSSS-7-F",data_code, 2,FALSE),0)</f>
        <v>4</v>
      </c>
      <c r="R105" s="4">
        <f>IFERROR(VLOOKUP("8-422805-PSSS-8-M",data_code, 2,FALSE),0)</f>
        <v>0</v>
      </c>
      <c r="S105" s="18">
        <f>IFERROR(VLOOKUP("8-422805-PSSS-8-F",data_code, 2,FALSE),0)</f>
        <v>2</v>
      </c>
      <c r="T105" s="4">
        <f>IFERROR(VLOOKUP("8-422805-PSSS-9-M",data_code, 2,FALSE),0)</f>
        <v>0</v>
      </c>
      <c r="U105" s="4">
        <f>IFERROR(VLOOKUP("8-422805-PSSS-9-F",data_code, 2,FALSE),0)</f>
        <v>0</v>
      </c>
      <c r="V105" s="32">
        <f t="shared" si="20"/>
        <v>1</v>
      </c>
      <c r="W105" s="18">
        <f t="shared" si="21"/>
        <v>7</v>
      </c>
      <c r="X105" s="28">
        <f t="shared" si="22"/>
        <v>8</v>
      </c>
    </row>
    <row r="106" spans="1:24">
      <c r="A106" s="83"/>
      <c r="B106" s="5" t="s">
        <v>368</v>
      </c>
      <c r="C106" s="6" t="s">
        <v>369</v>
      </c>
      <c r="D106" s="32">
        <f>IFERROR(VLOOKUP("8-510502-AEGD-1-M",data_code, 2,FALSE),0)</f>
        <v>0</v>
      </c>
      <c r="E106" s="18">
        <f>IFERROR(VLOOKUP("8-510502-AEGD-1-F",data_code, 2,FALSE),0)</f>
        <v>0</v>
      </c>
      <c r="F106" s="4">
        <f>IFERROR(VLOOKUP("8-510502-AEGD-2-M",data_code, 2,FALSE),0)</f>
        <v>0</v>
      </c>
      <c r="G106" s="18">
        <f>IFERROR(VLOOKUP("8-510502-AEGD-2-F",data_code, 2,FALSE),0)</f>
        <v>0</v>
      </c>
      <c r="H106" s="4">
        <f>IFERROR(VLOOKUP("8-510502-AEGD-3-M",data_code, 2,FALSE),0)</f>
        <v>0</v>
      </c>
      <c r="I106" s="18">
        <f>IFERROR(VLOOKUP("8-510502-AEGD-3-F",data_code, 2,FALSE),0)</f>
        <v>0</v>
      </c>
      <c r="J106" s="4">
        <f>IFERROR(VLOOKUP("8-510502-AEGD-4-M",data_code, 2,FALSE),0)</f>
        <v>0</v>
      </c>
      <c r="K106" s="18">
        <f>IFERROR(VLOOKUP("8-510502-AEGD-4-F",data_code, 2,FALSE),0)</f>
        <v>0</v>
      </c>
      <c r="L106" s="4">
        <f>IFERROR(VLOOKUP("8-510502-AEGD-5-M",data_code, 2,FALSE),0)</f>
        <v>0</v>
      </c>
      <c r="M106" s="18">
        <f>IFERROR(VLOOKUP("8-510502-AEGD-5-F",data_code, 2,FALSE),0)</f>
        <v>0</v>
      </c>
      <c r="N106" s="4">
        <f>IFERROR(VLOOKUP("8-510502-AEGD-6-M",data_code, 2,FALSE),0)</f>
        <v>0</v>
      </c>
      <c r="O106" s="18">
        <f>IFERROR(VLOOKUP("8-510502-AEGD-6-F",data_code, 2,FALSE),0)</f>
        <v>0</v>
      </c>
      <c r="P106" s="4">
        <f>IFERROR(VLOOKUP("8-510502-AEGD-7-M",data_code, 2,FALSE),0)</f>
        <v>2</v>
      </c>
      <c r="Q106" s="18">
        <f>IFERROR(VLOOKUP("8-510502-AEGD-7-F",data_code, 2,FALSE),0)</f>
        <v>1</v>
      </c>
      <c r="R106" s="4">
        <f>IFERROR(VLOOKUP("8-510502-AEGD-8-M",data_code, 2,FALSE),0)</f>
        <v>0</v>
      </c>
      <c r="S106" s="18">
        <f>IFERROR(VLOOKUP("8-510502-AEGD-8-F",data_code, 2,FALSE),0)</f>
        <v>0</v>
      </c>
      <c r="T106" s="4">
        <f>IFERROR(VLOOKUP("8-510502-AEGD-9-M",data_code, 2,FALSE),0)</f>
        <v>0</v>
      </c>
      <c r="U106" s="4">
        <f>IFERROR(VLOOKUP("8-510502-AEGD-9-F",data_code, 2,FALSE),0)</f>
        <v>0</v>
      </c>
      <c r="V106" s="32">
        <f t="shared" ref="V106:V107" si="36">SUMIF($D$2:$U$2,"Men",D106:U106)</f>
        <v>2</v>
      </c>
      <c r="W106" s="18">
        <f t="shared" ref="W106:W107" si="37">SUMIF($D$2:$U$2,"Women",D106:U106)</f>
        <v>1</v>
      </c>
      <c r="X106" s="28">
        <f t="shared" ref="X106:X107" si="38">SUM(V106:W106)</f>
        <v>3</v>
      </c>
    </row>
    <row r="107" spans="1:24">
      <c r="A107" s="83"/>
      <c r="B107" s="5" t="s">
        <v>525</v>
      </c>
      <c r="C107" s="6" t="s">
        <v>526</v>
      </c>
      <c r="D107" s="32">
        <f>IFERROR(VLOOKUP("8-510506-SDME-1-M",data_code, 2,FALSE),0)</f>
        <v>0</v>
      </c>
      <c r="E107" s="18">
        <f>IFERROR(VLOOKUP("8-510506-SDME-1-F",data_code, 2,FALSE),0)</f>
        <v>0</v>
      </c>
      <c r="F107" s="4">
        <f>IFERROR(VLOOKUP("8-510506-SDME-2-M",data_code, 2,FALSE),0)</f>
        <v>0</v>
      </c>
      <c r="G107" s="18">
        <f>IFERROR(VLOOKUP("8-510506-SDME-2-F",data_code, 2,FALSE),0)</f>
        <v>0</v>
      </c>
      <c r="H107" s="4">
        <f>IFERROR(VLOOKUP("8-510506-SDME-3-M",data_code, 2,FALSE),0)</f>
        <v>0</v>
      </c>
      <c r="I107" s="18">
        <f>IFERROR(VLOOKUP("8-510506-SDME-3-F",data_code, 2,FALSE),0)</f>
        <v>0</v>
      </c>
      <c r="J107" s="4">
        <f>IFERROR(VLOOKUP("8-510506-SDME-4-M",data_code, 2,FALSE),0)</f>
        <v>0</v>
      </c>
      <c r="K107" s="18">
        <f>IFERROR(VLOOKUP("8-510506-SDME-4-F",data_code, 2,FALSE),0)</f>
        <v>0</v>
      </c>
      <c r="L107" s="4">
        <f>IFERROR(VLOOKUP("8-510506-SDME-5-M",data_code, 2,FALSE),0)</f>
        <v>0</v>
      </c>
      <c r="M107" s="18">
        <f>IFERROR(VLOOKUP("8-510506-SDME-5-F",data_code, 2,FALSE),0)</f>
        <v>0</v>
      </c>
      <c r="N107" s="4">
        <f>IFERROR(VLOOKUP("8-510506-SDME-6-M",data_code, 2,FALSE),0)</f>
        <v>0</v>
      </c>
      <c r="O107" s="18">
        <f>IFERROR(VLOOKUP("8-510506-SDME-6-F",data_code, 2,FALSE),0)</f>
        <v>0</v>
      </c>
      <c r="P107" s="4">
        <f>IFERROR(VLOOKUP("8-510506-SDME-7-M",data_code, 2,FALSE),0)</f>
        <v>1</v>
      </c>
      <c r="Q107" s="18">
        <f>IFERROR(VLOOKUP("8-510506-SDME-7-F",data_code, 2,FALSE),0)</f>
        <v>1</v>
      </c>
      <c r="R107" s="4">
        <f>IFERROR(VLOOKUP("8-510506-SDME-8-M",data_code, 2,FALSE),0)</f>
        <v>0</v>
      </c>
      <c r="S107" s="18">
        <f>IFERROR(VLOOKUP("8-510506-SDME-8-F",data_code, 2,FALSE),0)</f>
        <v>0</v>
      </c>
      <c r="T107" s="4">
        <f>IFERROR(VLOOKUP("8-510506-SDME-9-M",data_code, 2,FALSE),0)</f>
        <v>0</v>
      </c>
      <c r="U107" s="4">
        <f>IFERROR(VLOOKUP("8-510506-SDME-9-F",data_code, 2,FALSE),0)</f>
        <v>0</v>
      </c>
      <c r="V107" s="32">
        <f t="shared" si="36"/>
        <v>1</v>
      </c>
      <c r="W107" s="18">
        <f t="shared" si="37"/>
        <v>1</v>
      </c>
      <c r="X107" s="28">
        <f t="shared" si="38"/>
        <v>2</v>
      </c>
    </row>
    <row r="108" spans="1:24">
      <c r="A108" s="83"/>
      <c r="B108" s="5" t="s">
        <v>527</v>
      </c>
      <c r="C108" s="6" t="s">
        <v>528</v>
      </c>
      <c r="D108" s="32">
        <f>IFERROR(VLOOKUP("8-510508-SDMO-1-M",data_code, 2,FALSE),0)</f>
        <v>0</v>
      </c>
      <c r="E108" s="18">
        <f>IFERROR(VLOOKUP("8-510508-SDMO-1-F",data_code, 2,FALSE),0)</f>
        <v>0</v>
      </c>
      <c r="F108" s="4">
        <f>IFERROR(VLOOKUP("8-510508-SDMO-2-M",data_code, 2,FALSE),0)</f>
        <v>0</v>
      </c>
      <c r="G108" s="18">
        <f>IFERROR(VLOOKUP("8-510508-SDMO-2-F",data_code, 2,FALSE),0)</f>
        <v>1</v>
      </c>
      <c r="H108" s="4">
        <f>IFERROR(VLOOKUP("8-510508-SDMO-3-M",data_code, 2,FALSE),0)</f>
        <v>0</v>
      </c>
      <c r="I108" s="18">
        <f>IFERROR(VLOOKUP("8-510508-SDMO-3-F",data_code, 2,FALSE),0)</f>
        <v>0</v>
      </c>
      <c r="J108" s="4">
        <f>IFERROR(VLOOKUP("8-510508-SDMO-4-M",data_code, 2,FALSE),0)</f>
        <v>1</v>
      </c>
      <c r="K108" s="18">
        <f>IFERROR(VLOOKUP("8-510508-SDMO-4-F",data_code, 2,FALSE),0)</f>
        <v>0</v>
      </c>
      <c r="L108" s="4">
        <f>IFERROR(VLOOKUP("8-510508-SDMO-5-M",data_code, 2,FALSE),0)</f>
        <v>0</v>
      </c>
      <c r="M108" s="18">
        <f>IFERROR(VLOOKUP("8-510508-SDMO-5-F",data_code, 2,FALSE),0)</f>
        <v>0</v>
      </c>
      <c r="N108" s="4">
        <f>IFERROR(VLOOKUP("8-510508-SDMO-6-M",data_code, 2,FALSE),0)</f>
        <v>0</v>
      </c>
      <c r="O108" s="18">
        <f>IFERROR(VLOOKUP("8-510508-SDMO-6-F",data_code, 2,FALSE),0)</f>
        <v>0</v>
      </c>
      <c r="P108" s="4">
        <f>IFERROR(VLOOKUP("8-510508-SDMO-7-M",data_code, 2,FALSE),0)</f>
        <v>2</v>
      </c>
      <c r="Q108" s="18">
        <f>IFERROR(VLOOKUP("8-510508-SDMO-7-F",data_code, 2,FALSE),0)</f>
        <v>0</v>
      </c>
      <c r="R108" s="4">
        <f>IFERROR(VLOOKUP("8-510508-SDMO-8-M",data_code, 2,FALSE),0)</f>
        <v>0</v>
      </c>
      <c r="S108" s="18">
        <f>IFERROR(VLOOKUP("8-510508-SDMO-8-F",data_code, 2,FALSE),0)</f>
        <v>0</v>
      </c>
      <c r="T108" s="4">
        <f>IFERROR(VLOOKUP("8-510508-SDMO-9-M",data_code, 2,FALSE),0)</f>
        <v>0</v>
      </c>
      <c r="U108" s="4">
        <f>IFERROR(VLOOKUP("8-510508-SDMO-9-F",data_code, 2,FALSE),0)</f>
        <v>0</v>
      </c>
      <c r="V108" s="32">
        <f t="shared" ref="V108" si="39">SUMIF($D$2:$U$2,"Men",D108:U108)</f>
        <v>3</v>
      </c>
      <c r="W108" s="18">
        <f t="shared" ref="W108" si="40">SUMIF($D$2:$U$2,"Women",D108:U108)</f>
        <v>1</v>
      </c>
      <c r="X108" s="28">
        <f t="shared" ref="X108" si="41">SUM(V108:W108)</f>
        <v>4</v>
      </c>
    </row>
    <row r="109" spans="1:24">
      <c r="A109" s="83"/>
      <c r="B109" s="5" t="s">
        <v>367</v>
      </c>
      <c r="C109" s="6" t="s">
        <v>370</v>
      </c>
      <c r="D109" s="32">
        <f>IFERROR(VLOOKUP("8-513818-NUPM-1-M",data_code, 2,FALSE),0)</f>
        <v>0</v>
      </c>
      <c r="E109" s="18">
        <f>IFERROR(VLOOKUP("8-513818-NUPM-1-F",data_code, 2,FALSE),0)</f>
        <v>0</v>
      </c>
      <c r="F109" s="4">
        <f>IFERROR(VLOOKUP("8-513818-NUPM-2-M",data_code, 2,FALSE),0)</f>
        <v>0</v>
      </c>
      <c r="G109" s="18">
        <f>IFERROR(VLOOKUP("8-513818-NUPM-2-F",data_code, 2,FALSE),0)</f>
        <v>0</v>
      </c>
      <c r="H109" s="4">
        <f>IFERROR(VLOOKUP("8-513818-NUPM-3-M",data_code, 2,FALSE),0)</f>
        <v>0</v>
      </c>
      <c r="I109" s="18">
        <f>IFERROR(VLOOKUP("8-513818-NUPM-3-F",data_code, 2,FALSE),0)</f>
        <v>0</v>
      </c>
      <c r="J109" s="4">
        <f>IFERROR(VLOOKUP("8-513818-NUPM-4-M",data_code, 2,FALSE),0)</f>
        <v>0</v>
      </c>
      <c r="K109" s="18">
        <f>IFERROR(VLOOKUP("8-513818-NUPM-4-F",data_code, 2,FALSE),0)</f>
        <v>0</v>
      </c>
      <c r="L109" s="4">
        <f>IFERROR(VLOOKUP("8-513818-NUPM-5-M",data_code, 2,FALSE),0)</f>
        <v>0</v>
      </c>
      <c r="M109" s="18">
        <f>IFERROR(VLOOKUP("8-513818-NUPM-5-F",data_code, 2,FALSE),0)</f>
        <v>7</v>
      </c>
      <c r="N109" s="4">
        <f>IFERROR(VLOOKUP("8-513818-NUPM-6-M",data_code, 2,FALSE),0)</f>
        <v>0</v>
      </c>
      <c r="O109" s="18">
        <f>IFERROR(VLOOKUP("8-513818-NUPM-6-F",data_code, 2,FALSE),0)</f>
        <v>1</v>
      </c>
      <c r="P109" s="4">
        <f>IFERROR(VLOOKUP("8-513818-NUPM-7-M",data_code, 2,FALSE),0)</f>
        <v>1</v>
      </c>
      <c r="Q109" s="18">
        <f>IFERROR(VLOOKUP("8-513818-NUPM-7-F",data_code, 2,FALSE),0)</f>
        <v>7</v>
      </c>
      <c r="R109" s="4">
        <f>IFERROR(VLOOKUP("8-513818-NUPM-8-M",data_code, 2,FALSE),0)</f>
        <v>0</v>
      </c>
      <c r="S109" s="18">
        <f>IFERROR(VLOOKUP("8-513818-NUPM-8-F",data_code, 2,FALSE),0)</f>
        <v>0</v>
      </c>
      <c r="T109" s="4">
        <f>IFERROR(VLOOKUP("8-513818-NUPM-9-M",data_code, 2,FALSE),0)</f>
        <v>0</v>
      </c>
      <c r="U109" s="4">
        <f>IFERROR(VLOOKUP("8-513818-NUPM-9-F",data_code, 2,FALSE),0)</f>
        <v>0</v>
      </c>
      <c r="V109" s="32">
        <f t="shared" ref="V109" si="42">SUMIF($D$2:$U$2,"Men",D109:U109)</f>
        <v>1</v>
      </c>
      <c r="W109" s="18">
        <f t="shared" ref="W109" si="43">SUMIF($D$2:$U$2,"Women",D109:U109)</f>
        <v>15</v>
      </c>
      <c r="X109" s="28">
        <f t="shared" ref="X109" si="44">SUM(V109:W109)</f>
        <v>16</v>
      </c>
    </row>
    <row r="110" spans="1:24">
      <c r="A110" s="84"/>
      <c r="B110" s="85" t="s">
        <v>35</v>
      </c>
      <c r="C110" s="86"/>
      <c r="D110" s="33">
        <f t="shared" ref="D110:X110" si="45">SUM(D104:D109)</f>
        <v>0</v>
      </c>
      <c r="E110" s="31">
        <f t="shared" si="45"/>
        <v>0</v>
      </c>
      <c r="F110" s="30">
        <f t="shared" si="45"/>
        <v>0</v>
      </c>
      <c r="G110" s="31">
        <f t="shared" si="45"/>
        <v>3</v>
      </c>
      <c r="H110" s="30">
        <f t="shared" si="45"/>
        <v>0</v>
      </c>
      <c r="I110" s="31">
        <f t="shared" si="45"/>
        <v>0</v>
      </c>
      <c r="J110" s="30">
        <f t="shared" si="45"/>
        <v>1</v>
      </c>
      <c r="K110" s="31">
        <f t="shared" si="45"/>
        <v>0</v>
      </c>
      <c r="L110" s="30">
        <f t="shared" si="45"/>
        <v>0</v>
      </c>
      <c r="M110" s="31">
        <f t="shared" si="45"/>
        <v>18</v>
      </c>
      <c r="N110" s="30">
        <f t="shared" si="45"/>
        <v>0</v>
      </c>
      <c r="O110" s="31">
        <f t="shared" si="45"/>
        <v>1</v>
      </c>
      <c r="P110" s="30">
        <f t="shared" si="45"/>
        <v>13</v>
      </c>
      <c r="Q110" s="31">
        <f t="shared" si="45"/>
        <v>19</v>
      </c>
      <c r="R110" s="30">
        <f t="shared" si="45"/>
        <v>0</v>
      </c>
      <c r="S110" s="31">
        <f t="shared" si="45"/>
        <v>3</v>
      </c>
      <c r="T110" s="30">
        <f t="shared" si="45"/>
        <v>8</v>
      </c>
      <c r="U110" s="31">
        <f t="shared" si="45"/>
        <v>12</v>
      </c>
      <c r="V110" s="30">
        <f t="shared" si="45"/>
        <v>22</v>
      </c>
      <c r="W110" s="31">
        <f t="shared" si="45"/>
        <v>56</v>
      </c>
      <c r="X110" s="31">
        <f t="shared" si="45"/>
        <v>78</v>
      </c>
    </row>
    <row r="111" spans="1:24" ht="46.5" customHeight="1">
      <c r="A111" s="21" t="s">
        <v>59</v>
      </c>
      <c r="B111" s="24">
        <v>13.040100000000001</v>
      </c>
      <c r="C111" s="56" t="s">
        <v>16</v>
      </c>
      <c r="D111" s="34">
        <f>IFERROR(VLOOKUP("17-130401-1-M",data_code, 2,FALSE),0)</f>
        <v>0</v>
      </c>
      <c r="E111" s="35">
        <f>IFERROR(VLOOKUP("17-130401-1-F",data_code, 2,FALSE),0)</f>
        <v>0</v>
      </c>
      <c r="F111" s="36">
        <f>IFERROR(VLOOKUP("17-130401-2-M",data_code, 2,FALSE),0)</f>
        <v>0</v>
      </c>
      <c r="G111" s="35">
        <f>IFERROR(VLOOKUP("17-130401-2-F",data_code, 2,FALSE),0)</f>
        <v>0</v>
      </c>
      <c r="H111" s="36">
        <f>IFERROR(VLOOKUP("17-130401-3-M",data_code, 2,FALSE),0)</f>
        <v>0</v>
      </c>
      <c r="I111" s="35">
        <f>IFERROR(VLOOKUP("17-130401-3-F",data_code, 2,FALSE),0)</f>
        <v>0</v>
      </c>
      <c r="J111" s="36">
        <f>IFERROR(VLOOKUP("17-130401-4-M",data_code, 2,FALSE),0)</f>
        <v>0</v>
      </c>
      <c r="K111" s="35">
        <f>IFERROR(VLOOKUP("17-130401-4-F",data_code, 2,FALSE),0)</f>
        <v>0</v>
      </c>
      <c r="L111" s="36">
        <f>IFERROR(VLOOKUP("17-130401-5-M",data_code, 2,FALSE),0)</f>
        <v>0</v>
      </c>
      <c r="M111" s="35">
        <f>IFERROR(VLOOKUP("17-130401-5-F",data_code, 2,FALSE),0)</f>
        <v>0</v>
      </c>
      <c r="N111" s="36">
        <f>IFERROR(VLOOKUP("17-130401-6-M",data_code, 2,FALSE),0)</f>
        <v>0</v>
      </c>
      <c r="O111" s="35">
        <f>IFERROR(VLOOKUP("17-130401-6-F",data_code, 2,FALSE),0)</f>
        <v>0</v>
      </c>
      <c r="P111" s="36">
        <f>IFERROR(VLOOKUP("17-130401-7-M",data_code, 2,FALSE),0)</f>
        <v>3</v>
      </c>
      <c r="Q111" s="35">
        <f>IFERROR(VLOOKUP("17-130401-7-F",data_code, 2,FALSE),0)</f>
        <v>3</v>
      </c>
      <c r="R111" s="36">
        <f>IFERROR(VLOOKUP("17-130401-17-M",data_code, 2,FALSE),0)</f>
        <v>0</v>
      </c>
      <c r="S111" s="35">
        <f>IFERROR(VLOOKUP("17-130401-17-F",data_code, 2,FALSE),0)</f>
        <v>0</v>
      </c>
      <c r="T111" s="36">
        <f>IFERROR(VLOOKUP("17-130401-9-M",data_code, 2,FALSE),0)</f>
        <v>0</v>
      </c>
      <c r="U111" s="36">
        <f>IFERROR(VLOOKUP("17-130401-9-F",data_code, 2,FALSE),0)</f>
        <v>0</v>
      </c>
      <c r="V111" s="34">
        <f t="shared" ref="V111" si="46">SUMIF($D$2:$U$2,"Men",D111:U111)</f>
        <v>3</v>
      </c>
      <c r="W111" s="35">
        <f t="shared" ref="W111" si="47">SUMIF($D$2:$U$2,"Women",D111:U111)</f>
        <v>3</v>
      </c>
      <c r="X111" s="20">
        <f t="shared" ref="X111" si="48">SUM(V111:W111)</f>
        <v>6</v>
      </c>
    </row>
    <row r="112" spans="1:24" ht="15" customHeight="1">
      <c r="A112" s="82" t="s">
        <v>34</v>
      </c>
      <c r="B112" s="2" t="s">
        <v>15</v>
      </c>
      <c r="C112" s="3" t="s">
        <v>13</v>
      </c>
      <c r="D112" s="32">
        <f>IFERROR(VLOOKUP("18-510401-1-M",data_code, 2,FALSE),0)</f>
        <v>1</v>
      </c>
      <c r="E112" s="18">
        <f>IFERROR(VLOOKUP("18-510401-1-F",data_code, 2,FALSE),0)</f>
        <v>2</v>
      </c>
      <c r="F112" s="4">
        <f>IFERROR(VLOOKUP("18-510401-2-M",data_code, 2,FALSE),0)</f>
        <v>1</v>
      </c>
      <c r="G112" s="18">
        <f>IFERROR(VLOOKUP("18-510401-2-F",data_code, 2,FALSE),0)</f>
        <v>1</v>
      </c>
      <c r="H112" s="4">
        <f>IFERROR(VLOOKUP("18-510401-3-M",data_code, 2,FALSE),0)</f>
        <v>0</v>
      </c>
      <c r="I112" s="18">
        <f>IFERROR(VLOOKUP("18-510401-3-F",data_code, 2,FALSE),0)</f>
        <v>0</v>
      </c>
      <c r="J112" s="4">
        <f>IFERROR(VLOOKUP("18-510401-4-M",data_code, 2,FALSE),0)</f>
        <v>0</v>
      </c>
      <c r="K112" s="18">
        <f>IFERROR(VLOOKUP("18-510401-4-F",data_code, 2,FALSE),0)</f>
        <v>4</v>
      </c>
      <c r="L112" s="4">
        <f>IFERROR(VLOOKUP("18-510401-5-M",data_code, 2,FALSE),0)</f>
        <v>1</v>
      </c>
      <c r="M112" s="18">
        <f>IFERROR(VLOOKUP("18-510401-5-F",data_code, 2,FALSE),0)</f>
        <v>1</v>
      </c>
      <c r="N112" s="4">
        <f>IFERROR(VLOOKUP("18-510401-6-M",data_code, 2,FALSE),0)</f>
        <v>0</v>
      </c>
      <c r="O112" s="18">
        <f>IFERROR(VLOOKUP("18-510401-6-F",data_code, 2,FALSE),0)</f>
        <v>0</v>
      </c>
      <c r="P112" s="4">
        <f>IFERROR(VLOOKUP("18-510401-7-M",data_code, 2,FALSE),0)</f>
        <v>17</v>
      </c>
      <c r="Q112" s="18">
        <f>IFERROR(VLOOKUP("18-510401-7-F",data_code, 2,FALSE),0)</f>
        <v>22</v>
      </c>
      <c r="R112" s="4">
        <f>IFERROR(VLOOKUP("18-510401-8-M",data_code, 2,FALSE),0)</f>
        <v>1</v>
      </c>
      <c r="S112" s="18">
        <f>IFERROR(VLOOKUP("18-510401-8-F",data_code, 2,FALSE),0)</f>
        <v>3</v>
      </c>
      <c r="T112" s="4">
        <f>IFERROR(VLOOKUP("18-510401-9-M",data_code, 2,FALSE),0)</f>
        <v>0</v>
      </c>
      <c r="U112" s="4">
        <f>IFERROR(VLOOKUP("18-510401-9-F",data_code, 2,FALSE),0)</f>
        <v>0</v>
      </c>
      <c r="V112" s="32">
        <f t="shared" ref="V112" si="49">SUMIF($D$2:$U$2,"Men",D112:U112)</f>
        <v>21</v>
      </c>
      <c r="W112" s="18">
        <f t="shared" ref="W112" si="50">SUMIF($D$2:$U$2,"Women",D112:U112)</f>
        <v>33</v>
      </c>
      <c r="X112" s="28">
        <f t="shared" ref="X112" si="51">SUM(V112:W112)</f>
        <v>54</v>
      </c>
    </row>
    <row r="113" spans="1:24" ht="15" customHeight="1">
      <c r="A113" s="83"/>
      <c r="B113" s="7">
        <v>51.200099999999999</v>
      </c>
      <c r="C113" s="6" t="s">
        <v>14</v>
      </c>
      <c r="D113" s="32">
        <f>IFERROR(VLOOKUP("18-512001-1-M",data_code, 2,FALSE),0)</f>
        <v>0</v>
      </c>
      <c r="E113" s="18">
        <f>IFERROR(VLOOKUP("18-512001-1-F",data_code, 2,FALSE),0)</f>
        <v>0</v>
      </c>
      <c r="F113" s="4">
        <f>IFERROR(VLOOKUP("18-512001-2-M",data_code, 2,FALSE),0)</f>
        <v>1</v>
      </c>
      <c r="G113" s="18">
        <f>IFERROR(VLOOKUP("18-512001-2-F",data_code, 2,FALSE),0)</f>
        <v>0</v>
      </c>
      <c r="H113" s="4">
        <f>IFERROR(VLOOKUP("18-512001-3-M",data_code, 2,FALSE),0)</f>
        <v>0</v>
      </c>
      <c r="I113" s="18">
        <f>IFERROR(VLOOKUP("18-512001-3-F",data_code, 2,FALSE),0)</f>
        <v>0</v>
      </c>
      <c r="J113" s="4">
        <f>IFERROR(VLOOKUP("18-512001-4-M",data_code, 2,FALSE),0)</f>
        <v>1</v>
      </c>
      <c r="K113" s="18">
        <f>IFERROR(VLOOKUP("18-512001-4-F",data_code, 2,FALSE),0)</f>
        <v>2</v>
      </c>
      <c r="L113" s="4">
        <f>IFERROR(VLOOKUP("18-512001-5-M",data_code, 2,FALSE),0)</f>
        <v>2</v>
      </c>
      <c r="M113" s="18">
        <f>IFERROR(VLOOKUP("18-512001-5-F",data_code, 2,FALSE),0)</f>
        <v>0</v>
      </c>
      <c r="N113" s="4">
        <f>IFERROR(VLOOKUP("18-512001-6-M",data_code, 2,FALSE),0)</f>
        <v>0</v>
      </c>
      <c r="O113" s="18">
        <f>IFERROR(VLOOKUP("18-512001-6-F",data_code, 2,FALSE),0)</f>
        <v>0</v>
      </c>
      <c r="P113" s="4">
        <f>IFERROR(VLOOKUP("18-512001-7-M",data_code, 2,FALSE),0)</f>
        <v>19</v>
      </c>
      <c r="Q113" s="18">
        <f>IFERROR(VLOOKUP("18-512001-7-F",data_code, 2,FALSE),0)</f>
        <v>39</v>
      </c>
      <c r="R113" s="4">
        <f>IFERROR(VLOOKUP("18-512001-8-M",data_code, 2,FALSE),0)</f>
        <v>0</v>
      </c>
      <c r="S113" s="18">
        <f>IFERROR(VLOOKUP("18-512001-8-F",data_code, 2,FALSE),0)</f>
        <v>0</v>
      </c>
      <c r="T113" s="4">
        <f>IFERROR(VLOOKUP("18-512001-9-M",data_code, 2,FALSE),0)</f>
        <v>0</v>
      </c>
      <c r="U113" s="4">
        <f>IFERROR(VLOOKUP("18-512001-9-F",data_code, 2,FALSE),0)</f>
        <v>0</v>
      </c>
      <c r="V113" s="32">
        <f t="shared" ref="V113" si="52">SUMIF($D$2:$U$2,"Men",D113:U113)</f>
        <v>23</v>
      </c>
      <c r="W113" s="18">
        <f t="shared" ref="W113" si="53">SUMIF($D$2:$U$2,"Women",D113:U113)</f>
        <v>41</v>
      </c>
      <c r="X113" s="28">
        <f t="shared" ref="X113" si="54">SUM(V113:W113)</f>
        <v>64</v>
      </c>
    </row>
    <row r="114" spans="1:24">
      <c r="A114" s="84"/>
      <c r="B114" s="85" t="s">
        <v>31</v>
      </c>
      <c r="C114" s="86"/>
      <c r="D114" s="33">
        <f>SUM(D112:D113)</f>
        <v>1</v>
      </c>
      <c r="E114" s="31">
        <f t="shared" ref="E114:X114" si="55">SUM(E112:E113)</f>
        <v>2</v>
      </c>
      <c r="F114" s="30">
        <f t="shared" si="55"/>
        <v>2</v>
      </c>
      <c r="G114" s="31">
        <f t="shared" si="55"/>
        <v>1</v>
      </c>
      <c r="H114" s="30">
        <f t="shared" si="55"/>
        <v>0</v>
      </c>
      <c r="I114" s="31">
        <f t="shared" si="55"/>
        <v>0</v>
      </c>
      <c r="J114" s="30">
        <f t="shared" si="55"/>
        <v>1</v>
      </c>
      <c r="K114" s="31">
        <f t="shared" si="55"/>
        <v>6</v>
      </c>
      <c r="L114" s="30">
        <f t="shared" si="55"/>
        <v>3</v>
      </c>
      <c r="M114" s="31">
        <f t="shared" si="55"/>
        <v>1</v>
      </c>
      <c r="N114" s="30">
        <f t="shared" si="55"/>
        <v>0</v>
      </c>
      <c r="O114" s="31">
        <f t="shared" si="55"/>
        <v>0</v>
      </c>
      <c r="P114" s="30">
        <f t="shared" si="55"/>
        <v>36</v>
      </c>
      <c r="Q114" s="31">
        <f t="shared" si="55"/>
        <v>61</v>
      </c>
      <c r="R114" s="30">
        <f t="shared" si="55"/>
        <v>1</v>
      </c>
      <c r="S114" s="31">
        <f t="shared" si="55"/>
        <v>3</v>
      </c>
      <c r="T114" s="30">
        <f t="shared" si="55"/>
        <v>0</v>
      </c>
      <c r="U114" s="31">
        <f t="shared" si="55"/>
        <v>0</v>
      </c>
      <c r="V114" s="30">
        <f t="shared" si="55"/>
        <v>44</v>
      </c>
      <c r="W114" s="31">
        <f t="shared" si="55"/>
        <v>74</v>
      </c>
      <c r="X114" s="41">
        <f t="shared" si="55"/>
        <v>118</v>
      </c>
    </row>
    <row r="115" spans="1:24" ht="29.25" customHeight="1">
      <c r="A115" s="22" t="s">
        <v>33</v>
      </c>
      <c r="B115" s="57">
        <v>51.381799999999998</v>
      </c>
      <c r="C115" s="58" t="s">
        <v>149</v>
      </c>
      <c r="D115" s="32">
        <f>IFERROR(VLOOKUP("19-513818-1-M",data_code, 2,FALSE),0)</f>
        <v>0</v>
      </c>
      <c r="E115" s="35">
        <f>IFERROR(VLOOKUP("19-513818-1-F",data_code, 2,FALSE),0)</f>
        <v>0</v>
      </c>
      <c r="F115" s="4">
        <f>IFERROR(VLOOKUP("19-513818-2-M",data_code, 2,FALSE),0)</f>
        <v>1</v>
      </c>
      <c r="G115" s="35">
        <f>IFERROR(VLOOKUP("19-513818-2-F",data_code, 2,FALSE),0)</f>
        <v>2</v>
      </c>
      <c r="H115" s="4">
        <f>IFERROR(VLOOKUP("19-513818-3-M",data_code, 2,FALSE),0)</f>
        <v>0</v>
      </c>
      <c r="I115" s="35">
        <f>IFERROR(VLOOKUP("19-513818-3-F",data_code, 2,FALSE),0)</f>
        <v>0</v>
      </c>
      <c r="J115" s="4">
        <f>IFERROR(VLOOKUP("19-513818-4-M",data_code, 2,FALSE),0)</f>
        <v>0</v>
      </c>
      <c r="K115" s="35">
        <f>IFERROR(VLOOKUP("19-513818-4-F",data_code, 2,FALSE),0)</f>
        <v>3</v>
      </c>
      <c r="L115" s="4">
        <f>IFERROR(VLOOKUP("19-513818-5-M",data_code, 2,FALSE),0)</f>
        <v>3</v>
      </c>
      <c r="M115" s="35">
        <f>IFERROR(VLOOKUP("19-513818-5-F",data_code, 2,FALSE),0)</f>
        <v>8</v>
      </c>
      <c r="N115" s="4">
        <f>IFERROR(VLOOKUP("19-513818-6-M",data_code, 2,FALSE),0)</f>
        <v>0</v>
      </c>
      <c r="O115" s="35">
        <f>IFERROR(VLOOKUP("19-513818-6-F",data_code, 2,FALSE),0)</f>
        <v>0</v>
      </c>
      <c r="P115" s="4">
        <f>IFERROR(VLOOKUP("19-513818-7-M",data_code, 2,FALSE),0)</f>
        <v>6</v>
      </c>
      <c r="Q115" s="35">
        <f>IFERROR(VLOOKUP("19-513818-7-F",data_code, 2,FALSE),0)</f>
        <v>26</v>
      </c>
      <c r="R115" s="4">
        <f>IFERROR(VLOOKUP("19-513818-8-M",data_code, 2,FALSE),0)</f>
        <v>0</v>
      </c>
      <c r="S115" s="35">
        <f>IFERROR(VLOOKUP("19-513818-8-F",data_code, 2,FALSE),0)</f>
        <v>2</v>
      </c>
      <c r="T115" s="4">
        <f>IFERROR(VLOOKUP("19-513818-9-M",data_code, 2,FALSE),0)</f>
        <v>7</v>
      </c>
      <c r="U115" s="4">
        <f>IFERROR(VLOOKUP("19-513818-9-F",data_code, 2,FALSE),0)</f>
        <v>12</v>
      </c>
      <c r="V115" s="32">
        <f t="shared" si="20"/>
        <v>17</v>
      </c>
      <c r="W115" s="35">
        <f t="shared" si="21"/>
        <v>53</v>
      </c>
      <c r="X115" s="28">
        <f t="shared" si="22"/>
        <v>70</v>
      </c>
    </row>
    <row r="116" spans="1:24">
      <c r="A116" s="59"/>
      <c r="B116" s="85" t="s">
        <v>57</v>
      </c>
      <c r="C116" s="86"/>
      <c r="D116" s="33">
        <f t="shared" ref="D116:X116" si="56">D111+D115+D114+D110+D103+D59+D48</f>
        <v>176</v>
      </c>
      <c r="E116" s="30">
        <f t="shared" si="56"/>
        <v>120</v>
      </c>
      <c r="F116" s="33">
        <f t="shared" si="56"/>
        <v>65</v>
      </c>
      <c r="G116" s="30">
        <f t="shared" si="56"/>
        <v>98</v>
      </c>
      <c r="H116" s="33">
        <f t="shared" si="56"/>
        <v>2</v>
      </c>
      <c r="I116" s="30">
        <f t="shared" si="56"/>
        <v>4</v>
      </c>
      <c r="J116" s="33">
        <f t="shared" si="56"/>
        <v>25</v>
      </c>
      <c r="K116" s="30">
        <f t="shared" si="56"/>
        <v>52</v>
      </c>
      <c r="L116" s="33">
        <f t="shared" si="56"/>
        <v>90</v>
      </c>
      <c r="M116" s="30">
        <f t="shared" si="56"/>
        <v>222</v>
      </c>
      <c r="N116" s="33">
        <f t="shared" si="56"/>
        <v>2</v>
      </c>
      <c r="O116" s="30">
        <f t="shared" si="56"/>
        <v>4</v>
      </c>
      <c r="P116" s="33">
        <f t="shared" si="56"/>
        <v>785</v>
      </c>
      <c r="Q116" s="30">
        <f t="shared" si="56"/>
        <v>1211</v>
      </c>
      <c r="R116" s="33">
        <f t="shared" si="56"/>
        <v>32</v>
      </c>
      <c r="S116" s="30">
        <f t="shared" si="56"/>
        <v>58</v>
      </c>
      <c r="T116" s="33">
        <f t="shared" si="56"/>
        <v>95</v>
      </c>
      <c r="U116" s="30">
        <f t="shared" si="56"/>
        <v>175</v>
      </c>
      <c r="V116" s="33">
        <f t="shared" si="56"/>
        <v>1272</v>
      </c>
      <c r="W116" s="30">
        <f t="shared" si="56"/>
        <v>1944</v>
      </c>
      <c r="X116" s="41">
        <f t="shared" si="56"/>
        <v>3216</v>
      </c>
    </row>
    <row r="119" spans="1:24">
      <c r="B119" s="91" t="s">
        <v>39</v>
      </c>
      <c r="C119" s="92"/>
      <c r="D119" s="8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0"/>
      <c r="R119" s="12"/>
      <c r="S119" s="12"/>
      <c r="T119" s="12"/>
      <c r="U119" s="12"/>
      <c r="V119" s="12"/>
      <c r="W119" s="12"/>
      <c r="X119" s="12"/>
    </row>
    <row r="120" spans="1:24">
      <c r="B120" s="24" t="s">
        <v>51</v>
      </c>
      <c r="C120" s="25" t="s">
        <v>40</v>
      </c>
      <c r="D120" s="16">
        <f t="shared" ref="D120:X120" si="57">D48</f>
        <v>29</v>
      </c>
      <c r="E120" s="16">
        <f t="shared" si="57"/>
        <v>15</v>
      </c>
      <c r="F120" s="15">
        <f t="shared" si="57"/>
        <v>46</v>
      </c>
      <c r="G120" s="16">
        <f t="shared" si="57"/>
        <v>75</v>
      </c>
      <c r="H120" s="15">
        <f t="shared" si="57"/>
        <v>2</v>
      </c>
      <c r="I120" s="16">
        <f t="shared" si="57"/>
        <v>3</v>
      </c>
      <c r="J120" s="15">
        <f t="shared" si="57"/>
        <v>17</v>
      </c>
      <c r="K120" s="16">
        <f t="shared" si="57"/>
        <v>29</v>
      </c>
      <c r="L120" s="15">
        <f t="shared" si="57"/>
        <v>63</v>
      </c>
      <c r="M120" s="16">
        <f t="shared" si="57"/>
        <v>147</v>
      </c>
      <c r="N120" s="15">
        <f t="shared" si="57"/>
        <v>1</v>
      </c>
      <c r="O120" s="16">
        <f t="shared" si="57"/>
        <v>3</v>
      </c>
      <c r="P120" s="15">
        <f t="shared" si="57"/>
        <v>609</v>
      </c>
      <c r="Q120" s="16">
        <f t="shared" si="57"/>
        <v>880</v>
      </c>
      <c r="R120" s="15">
        <f t="shared" si="57"/>
        <v>26</v>
      </c>
      <c r="S120" s="16">
        <f t="shared" si="57"/>
        <v>40</v>
      </c>
      <c r="T120" s="15">
        <f t="shared" si="57"/>
        <v>17</v>
      </c>
      <c r="U120" s="16">
        <f t="shared" si="57"/>
        <v>31</v>
      </c>
      <c r="V120" s="15">
        <f t="shared" si="57"/>
        <v>810</v>
      </c>
      <c r="W120" s="16">
        <f t="shared" si="57"/>
        <v>1223</v>
      </c>
      <c r="X120" s="37">
        <f t="shared" si="57"/>
        <v>2033</v>
      </c>
    </row>
    <row r="121" spans="1:24">
      <c r="B121" s="5" t="s">
        <v>52</v>
      </c>
      <c r="C121" s="27" t="s">
        <v>41</v>
      </c>
      <c r="D121" s="4">
        <f t="shared" ref="D121:X121" si="58">D59</f>
        <v>2</v>
      </c>
      <c r="E121" s="4">
        <f t="shared" si="58"/>
        <v>2</v>
      </c>
      <c r="F121" s="32">
        <f t="shared" si="58"/>
        <v>0</v>
      </c>
      <c r="G121" s="4">
        <f t="shared" si="58"/>
        <v>1</v>
      </c>
      <c r="H121" s="32">
        <f t="shared" si="58"/>
        <v>0</v>
      </c>
      <c r="I121" s="4">
        <f t="shared" si="58"/>
        <v>0</v>
      </c>
      <c r="J121" s="32">
        <f t="shared" si="58"/>
        <v>0</v>
      </c>
      <c r="K121" s="4">
        <f t="shared" si="58"/>
        <v>0</v>
      </c>
      <c r="L121" s="32">
        <f t="shared" si="58"/>
        <v>0</v>
      </c>
      <c r="M121" s="4">
        <f t="shared" si="58"/>
        <v>1</v>
      </c>
      <c r="N121" s="32">
        <f t="shared" si="58"/>
        <v>0</v>
      </c>
      <c r="O121" s="4">
        <f t="shared" si="58"/>
        <v>0</v>
      </c>
      <c r="P121" s="32">
        <f t="shared" si="58"/>
        <v>1</v>
      </c>
      <c r="Q121" s="4">
        <f t="shared" si="58"/>
        <v>6</v>
      </c>
      <c r="R121" s="32">
        <f t="shared" si="58"/>
        <v>0</v>
      </c>
      <c r="S121" s="4">
        <f t="shared" si="58"/>
        <v>0</v>
      </c>
      <c r="T121" s="32">
        <f t="shared" si="58"/>
        <v>1</v>
      </c>
      <c r="U121" s="4">
        <f t="shared" si="58"/>
        <v>2</v>
      </c>
      <c r="V121" s="32">
        <f t="shared" si="58"/>
        <v>4</v>
      </c>
      <c r="W121" s="4">
        <f t="shared" si="58"/>
        <v>12</v>
      </c>
      <c r="X121" s="38">
        <f t="shared" si="58"/>
        <v>16</v>
      </c>
    </row>
    <row r="122" spans="1:24">
      <c r="B122" s="5" t="s">
        <v>53</v>
      </c>
      <c r="C122" s="27" t="s">
        <v>42</v>
      </c>
      <c r="D122" s="4">
        <f t="shared" ref="D122:X122" si="59">D103</f>
        <v>144</v>
      </c>
      <c r="E122" s="4">
        <f t="shared" si="59"/>
        <v>101</v>
      </c>
      <c r="F122" s="32">
        <f t="shared" si="59"/>
        <v>16</v>
      </c>
      <c r="G122" s="4">
        <f t="shared" si="59"/>
        <v>16</v>
      </c>
      <c r="H122" s="32">
        <f t="shared" si="59"/>
        <v>0</v>
      </c>
      <c r="I122" s="4">
        <f t="shared" si="59"/>
        <v>1</v>
      </c>
      <c r="J122" s="32">
        <f t="shared" si="59"/>
        <v>6</v>
      </c>
      <c r="K122" s="4">
        <f t="shared" si="59"/>
        <v>14</v>
      </c>
      <c r="L122" s="32">
        <f t="shared" si="59"/>
        <v>21</v>
      </c>
      <c r="M122" s="4">
        <f t="shared" si="59"/>
        <v>47</v>
      </c>
      <c r="N122" s="32">
        <f t="shared" si="59"/>
        <v>1</v>
      </c>
      <c r="O122" s="4">
        <f t="shared" si="59"/>
        <v>0</v>
      </c>
      <c r="P122" s="32">
        <f t="shared" si="59"/>
        <v>117</v>
      </c>
      <c r="Q122" s="4">
        <f t="shared" si="59"/>
        <v>216</v>
      </c>
      <c r="R122" s="32">
        <f t="shared" si="59"/>
        <v>5</v>
      </c>
      <c r="S122" s="4">
        <f t="shared" si="59"/>
        <v>10</v>
      </c>
      <c r="T122" s="32">
        <f t="shared" si="59"/>
        <v>62</v>
      </c>
      <c r="U122" s="4">
        <f t="shared" si="59"/>
        <v>118</v>
      </c>
      <c r="V122" s="32">
        <f t="shared" si="59"/>
        <v>372</v>
      </c>
      <c r="W122" s="4">
        <f t="shared" si="59"/>
        <v>523</v>
      </c>
      <c r="X122" s="38">
        <f t="shared" si="59"/>
        <v>895</v>
      </c>
    </row>
    <row r="123" spans="1:24">
      <c r="B123" s="5" t="s">
        <v>54</v>
      </c>
      <c r="C123" s="27" t="s">
        <v>43</v>
      </c>
      <c r="D123" s="4">
        <f t="shared" ref="D123:X123" si="60">D110</f>
        <v>0</v>
      </c>
      <c r="E123" s="18">
        <f t="shared" si="60"/>
        <v>0</v>
      </c>
      <c r="F123" s="4">
        <f t="shared" si="60"/>
        <v>0</v>
      </c>
      <c r="G123" s="18">
        <f t="shared" si="60"/>
        <v>3</v>
      </c>
      <c r="H123" s="4">
        <f t="shared" si="60"/>
        <v>0</v>
      </c>
      <c r="I123" s="18">
        <f t="shared" si="60"/>
        <v>0</v>
      </c>
      <c r="J123" s="4">
        <f t="shared" si="60"/>
        <v>1</v>
      </c>
      <c r="K123" s="18">
        <f t="shared" si="60"/>
        <v>0</v>
      </c>
      <c r="L123" s="4">
        <f t="shared" si="60"/>
        <v>0</v>
      </c>
      <c r="M123" s="18">
        <f t="shared" si="60"/>
        <v>18</v>
      </c>
      <c r="N123" s="4">
        <f t="shared" si="60"/>
        <v>0</v>
      </c>
      <c r="O123" s="18">
        <f t="shared" si="60"/>
        <v>1</v>
      </c>
      <c r="P123" s="4">
        <f t="shared" si="60"/>
        <v>13</v>
      </c>
      <c r="Q123" s="18">
        <f t="shared" si="60"/>
        <v>19</v>
      </c>
      <c r="R123" s="4">
        <f t="shared" si="60"/>
        <v>0</v>
      </c>
      <c r="S123" s="18">
        <f t="shared" si="60"/>
        <v>3</v>
      </c>
      <c r="T123" s="4">
        <f t="shared" si="60"/>
        <v>8</v>
      </c>
      <c r="U123" s="18">
        <f t="shared" si="60"/>
        <v>12</v>
      </c>
      <c r="V123" s="4">
        <f t="shared" si="60"/>
        <v>22</v>
      </c>
      <c r="W123" s="4">
        <f t="shared" si="60"/>
        <v>56</v>
      </c>
      <c r="X123" s="38">
        <f t="shared" si="60"/>
        <v>78</v>
      </c>
    </row>
    <row r="124" spans="1:24">
      <c r="B124" s="5" t="s">
        <v>44</v>
      </c>
      <c r="C124" s="27" t="s">
        <v>45</v>
      </c>
      <c r="D124" s="4">
        <f t="shared" ref="D124:X124" si="61">D111</f>
        <v>0</v>
      </c>
      <c r="E124" s="18">
        <f t="shared" si="61"/>
        <v>0</v>
      </c>
      <c r="F124" s="4">
        <f t="shared" si="61"/>
        <v>0</v>
      </c>
      <c r="G124" s="18">
        <f t="shared" si="61"/>
        <v>0</v>
      </c>
      <c r="H124" s="4">
        <f t="shared" si="61"/>
        <v>0</v>
      </c>
      <c r="I124" s="18">
        <f t="shared" si="61"/>
        <v>0</v>
      </c>
      <c r="J124" s="4">
        <f t="shared" si="61"/>
        <v>0</v>
      </c>
      <c r="K124" s="18">
        <f t="shared" si="61"/>
        <v>0</v>
      </c>
      <c r="L124" s="4">
        <f t="shared" si="61"/>
        <v>0</v>
      </c>
      <c r="M124" s="18">
        <f t="shared" si="61"/>
        <v>0</v>
      </c>
      <c r="N124" s="4">
        <f t="shared" si="61"/>
        <v>0</v>
      </c>
      <c r="O124" s="18">
        <f t="shared" si="61"/>
        <v>0</v>
      </c>
      <c r="P124" s="4">
        <f t="shared" si="61"/>
        <v>3</v>
      </c>
      <c r="Q124" s="18">
        <f t="shared" si="61"/>
        <v>3</v>
      </c>
      <c r="R124" s="4">
        <f t="shared" si="61"/>
        <v>0</v>
      </c>
      <c r="S124" s="18">
        <f t="shared" si="61"/>
        <v>0</v>
      </c>
      <c r="T124" s="4">
        <f t="shared" si="61"/>
        <v>0</v>
      </c>
      <c r="U124" s="18">
        <f t="shared" si="61"/>
        <v>0</v>
      </c>
      <c r="V124" s="4">
        <f t="shared" si="61"/>
        <v>3</v>
      </c>
      <c r="W124" s="4">
        <f t="shared" si="61"/>
        <v>3</v>
      </c>
      <c r="X124" s="38">
        <f t="shared" si="61"/>
        <v>6</v>
      </c>
    </row>
    <row r="125" spans="1:24">
      <c r="B125" s="5" t="s">
        <v>46</v>
      </c>
      <c r="C125" s="27" t="s">
        <v>47</v>
      </c>
      <c r="D125" s="4">
        <f>D114</f>
        <v>1</v>
      </c>
      <c r="E125" s="18">
        <f t="shared" ref="E125:X126" si="62">E114</f>
        <v>2</v>
      </c>
      <c r="F125" s="4">
        <f t="shared" si="62"/>
        <v>2</v>
      </c>
      <c r="G125" s="18">
        <f t="shared" si="62"/>
        <v>1</v>
      </c>
      <c r="H125" s="4">
        <f t="shared" si="62"/>
        <v>0</v>
      </c>
      <c r="I125" s="18">
        <f t="shared" si="62"/>
        <v>0</v>
      </c>
      <c r="J125" s="4">
        <f t="shared" si="62"/>
        <v>1</v>
      </c>
      <c r="K125" s="18">
        <f t="shared" si="62"/>
        <v>6</v>
      </c>
      <c r="L125" s="4">
        <f t="shared" si="62"/>
        <v>3</v>
      </c>
      <c r="M125" s="18">
        <f t="shared" si="62"/>
        <v>1</v>
      </c>
      <c r="N125" s="4">
        <f t="shared" si="62"/>
        <v>0</v>
      </c>
      <c r="O125" s="18">
        <f t="shared" si="62"/>
        <v>0</v>
      </c>
      <c r="P125" s="4">
        <f t="shared" si="62"/>
        <v>36</v>
      </c>
      <c r="Q125" s="18">
        <f t="shared" si="62"/>
        <v>61</v>
      </c>
      <c r="R125" s="4">
        <f t="shared" si="62"/>
        <v>1</v>
      </c>
      <c r="S125" s="18">
        <f t="shared" si="62"/>
        <v>3</v>
      </c>
      <c r="T125" s="4">
        <f t="shared" si="62"/>
        <v>0</v>
      </c>
      <c r="U125" s="18">
        <f t="shared" si="62"/>
        <v>0</v>
      </c>
      <c r="V125" s="4">
        <f t="shared" si="62"/>
        <v>44</v>
      </c>
      <c r="W125" s="4">
        <f t="shared" si="62"/>
        <v>74</v>
      </c>
      <c r="X125" s="38">
        <f t="shared" si="62"/>
        <v>118</v>
      </c>
    </row>
    <row r="126" spans="1:24">
      <c r="B126" s="5" t="s">
        <v>48</v>
      </c>
      <c r="C126" s="27" t="s">
        <v>49</v>
      </c>
      <c r="D126" s="4">
        <f>D115</f>
        <v>0</v>
      </c>
      <c r="E126" s="18">
        <f t="shared" si="62"/>
        <v>0</v>
      </c>
      <c r="F126" s="4">
        <f t="shared" si="62"/>
        <v>1</v>
      </c>
      <c r="G126" s="18">
        <f t="shared" si="62"/>
        <v>2</v>
      </c>
      <c r="H126" s="4">
        <f t="shared" si="62"/>
        <v>0</v>
      </c>
      <c r="I126" s="18">
        <f t="shared" si="62"/>
        <v>0</v>
      </c>
      <c r="J126" s="4">
        <f t="shared" si="62"/>
        <v>0</v>
      </c>
      <c r="K126" s="18">
        <f t="shared" si="62"/>
        <v>3</v>
      </c>
      <c r="L126" s="4">
        <f t="shared" si="62"/>
        <v>3</v>
      </c>
      <c r="M126" s="18">
        <f t="shared" si="62"/>
        <v>8</v>
      </c>
      <c r="N126" s="4">
        <f t="shared" si="62"/>
        <v>0</v>
      </c>
      <c r="O126" s="18">
        <f t="shared" si="62"/>
        <v>0</v>
      </c>
      <c r="P126" s="4">
        <f t="shared" si="62"/>
        <v>6</v>
      </c>
      <c r="Q126" s="18">
        <f t="shared" si="62"/>
        <v>26</v>
      </c>
      <c r="R126" s="4">
        <f t="shared" si="62"/>
        <v>0</v>
      </c>
      <c r="S126" s="18">
        <f t="shared" si="62"/>
        <v>2</v>
      </c>
      <c r="T126" s="4">
        <f t="shared" si="62"/>
        <v>7</v>
      </c>
      <c r="U126" s="18">
        <f t="shared" si="62"/>
        <v>12</v>
      </c>
      <c r="V126" s="4">
        <f t="shared" si="62"/>
        <v>17</v>
      </c>
      <c r="W126" s="4">
        <f t="shared" si="62"/>
        <v>53</v>
      </c>
      <c r="X126" s="39">
        <f t="shared" si="62"/>
        <v>70</v>
      </c>
    </row>
    <row r="127" spans="1:24">
      <c r="B127" s="23"/>
      <c r="C127" s="29" t="s">
        <v>50</v>
      </c>
      <c r="D127" s="30">
        <f>SUM(D120:D126)</f>
        <v>176</v>
      </c>
      <c r="E127" s="31">
        <f t="shared" ref="E127:X127" si="63">SUM(E120:E126)</f>
        <v>120</v>
      </c>
      <c r="F127" s="30">
        <f t="shared" si="63"/>
        <v>65</v>
      </c>
      <c r="G127" s="31">
        <f t="shared" si="63"/>
        <v>98</v>
      </c>
      <c r="H127" s="30">
        <f t="shared" si="63"/>
        <v>2</v>
      </c>
      <c r="I127" s="31">
        <f t="shared" si="63"/>
        <v>4</v>
      </c>
      <c r="J127" s="30">
        <f t="shared" si="63"/>
        <v>25</v>
      </c>
      <c r="K127" s="31">
        <f t="shared" si="63"/>
        <v>52</v>
      </c>
      <c r="L127" s="30">
        <f t="shared" si="63"/>
        <v>90</v>
      </c>
      <c r="M127" s="31">
        <f t="shared" si="63"/>
        <v>222</v>
      </c>
      <c r="N127" s="30">
        <f t="shared" si="63"/>
        <v>2</v>
      </c>
      <c r="O127" s="31">
        <f t="shared" si="63"/>
        <v>4</v>
      </c>
      <c r="P127" s="30">
        <f t="shared" si="63"/>
        <v>785</v>
      </c>
      <c r="Q127" s="31">
        <f t="shared" si="63"/>
        <v>1211</v>
      </c>
      <c r="R127" s="30">
        <f t="shared" si="63"/>
        <v>32</v>
      </c>
      <c r="S127" s="31">
        <f t="shared" si="63"/>
        <v>58</v>
      </c>
      <c r="T127" s="30">
        <f t="shared" si="63"/>
        <v>95</v>
      </c>
      <c r="U127" s="31">
        <f t="shared" si="63"/>
        <v>175</v>
      </c>
      <c r="V127" s="30">
        <f t="shared" si="63"/>
        <v>1272</v>
      </c>
      <c r="W127" s="30">
        <f t="shared" si="63"/>
        <v>1944</v>
      </c>
      <c r="X127" s="41">
        <f t="shared" si="63"/>
        <v>3216</v>
      </c>
    </row>
    <row r="129" spans="2:24">
      <c r="B129" s="12"/>
      <c r="C129" s="13"/>
      <c r="J129" s="14"/>
      <c r="L129" s="14"/>
      <c r="P129" s="14"/>
      <c r="R129" s="14"/>
      <c r="T129" s="14"/>
      <c r="X129" s="14"/>
    </row>
    <row r="130" spans="2:24">
      <c r="B130" s="97" t="s">
        <v>736</v>
      </c>
      <c r="C130" s="98"/>
      <c r="D130" s="51"/>
    </row>
    <row r="131" spans="2:24">
      <c r="B131" s="80" t="s">
        <v>40</v>
      </c>
      <c r="C131" s="81"/>
    </row>
    <row r="132" spans="2:24">
      <c r="B132" s="24" t="s">
        <v>413</v>
      </c>
      <c r="C132" s="3" t="s">
        <v>974</v>
      </c>
      <c r="D132" s="16">
        <f>IFERROR(VLOOKUP("5-2-090102-1-M",data_code, 2,FALSE),0)</f>
        <v>0</v>
      </c>
      <c r="E132" s="17">
        <f>IFERROR(VLOOKUP("5-2-090102-1-F",data_code, 2,FALSE),0)</f>
        <v>0</v>
      </c>
      <c r="F132" s="16">
        <f>IFERROR(VLOOKUP("5-2-090102-2-M",data_code, 2,FALSE),0)</f>
        <v>0</v>
      </c>
      <c r="G132" s="17">
        <f>IFERROR(VLOOKUP("5-2-090102-2-F",data_code, 2,FALSE),0)</f>
        <v>0</v>
      </c>
      <c r="H132" s="16">
        <f>IFERROR(VLOOKUP("5-2-090102-3-M",data_code, 2,FALSE),0)</f>
        <v>0</v>
      </c>
      <c r="I132" s="17">
        <f>IFERROR(VLOOKUP("5-2-090102-3-F",data_code, 2,FALSE),0)</f>
        <v>0</v>
      </c>
      <c r="J132" s="16">
        <f>IFERROR(VLOOKUP("5-2-090102-4-M",data_code, 2,FALSE),0)</f>
        <v>0</v>
      </c>
      <c r="K132" s="17">
        <f>IFERROR(VLOOKUP("5-2-090102-4-F",data_code, 2,FALSE),0)</f>
        <v>0</v>
      </c>
      <c r="L132" s="16">
        <f>IFERROR(VLOOKUP("5-2-090102-5-M",data_code, 2,FALSE),0)</f>
        <v>0</v>
      </c>
      <c r="M132" s="17">
        <f>IFERROR(VLOOKUP("5-2-090102-5-F",data_code, 2,FALSE),0)</f>
        <v>1</v>
      </c>
      <c r="N132" s="16">
        <f>IFERROR(VLOOKUP("5-2-090102-6-M",data_code, 2,FALSE),0)</f>
        <v>0</v>
      </c>
      <c r="O132" s="17">
        <f>IFERROR(VLOOKUP("5-2-090102-6-F",data_code, 2,FALSE),0)</f>
        <v>0</v>
      </c>
      <c r="P132" s="16">
        <f>IFERROR(VLOOKUP("5-2-090102-7-M",data_code, 2,FALSE),0)</f>
        <v>0</v>
      </c>
      <c r="Q132" s="17">
        <f>IFERROR(VLOOKUP("5-2-090102-7-F",data_code, 2,FALSE),0)</f>
        <v>0</v>
      </c>
      <c r="R132" s="16">
        <f>IFERROR(VLOOKUP("5-2-090102-8-M",data_code, 2,FALSE),0)</f>
        <v>0</v>
      </c>
      <c r="S132" s="17">
        <f>IFERROR(VLOOKUP("5-2-090102-8-F",data_code, 2,FALSE),0)</f>
        <v>0</v>
      </c>
      <c r="T132" s="16">
        <f>IFERROR(VLOOKUP("5-2-090102-9-M",data_code, 2,FALSE),0)</f>
        <v>0</v>
      </c>
      <c r="U132" s="17">
        <f>IFERROR(VLOOKUP("5-2-090102-9-F",data_code, 2,FALSE),0)</f>
        <v>0</v>
      </c>
      <c r="V132" s="16">
        <f t="shared" ref="V132" si="64">SUMIF($D$2:$U$2,"Men",D132:U132)</f>
        <v>0</v>
      </c>
      <c r="W132" s="17">
        <f t="shared" ref="W132" si="65">SUMIF($D$2:$U$2,"Women",D132:U132)</f>
        <v>1</v>
      </c>
      <c r="X132" s="37">
        <f t="shared" ref="X132:X142" si="66">SUM(V132:W132)</f>
        <v>1</v>
      </c>
    </row>
    <row r="133" spans="2:24">
      <c r="B133" s="5" t="s">
        <v>440</v>
      </c>
      <c r="C133" s="6" t="s">
        <v>530</v>
      </c>
      <c r="D133" s="4">
        <f>IFERROR(VLOOKUP("5-2-160101-1-M",data_code, 2,FALSE),0)</f>
        <v>0</v>
      </c>
      <c r="E133" s="18">
        <f>IFERROR(VLOOKUP("5-2-160101-1-F",data_code, 2,FALSE),0)</f>
        <v>0</v>
      </c>
      <c r="F133" s="4">
        <f>IFERROR(VLOOKUP("5-2-160101-2-M",data_code, 2,FALSE),0)</f>
        <v>0</v>
      </c>
      <c r="G133" s="18">
        <f>IFERROR(VLOOKUP("5-2-160101-2-F",data_code, 2,FALSE),0)</f>
        <v>1</v>
      </c>
      <c r="H133" s="4">
        <f>IFERROR(VLOOKUP("5-2-160101-3-M",data_code, 2,FALSE),0)</f>
        <v>0</v>
      </c>
      <c r="I133" s="18">
        <f>IFERROR(VLOOKUP("5-2-160101-3-F",data_code, 2,FALSE),0)</f>
        <v>0</v>
      </c>
      <c r="J133" s="4">
        <f>IFERROR(VLOOKUP("5-2-160101-4-M",data_code, 2,FALSE),0)</f>
        <v>0</v>
      </c>
      <c r="K133" s="18">
        <f>IFERROR(VLOOKUP("5-2-160101-4-F",data_code, 2,FALSE),0)</f>
        <v>0</v>
      </c>
      <c r="L133" s="4">
        <f>IFERROR(VLOOKUP("5-2-160101-5-M",data_code, 2,FALSE),0)</f>
        <v>0</v>
      </c>
      <c r="M133" s="18">
        <f>IFERROR(VLOOKUP("5-2-160101-5-F",data_code, 2,FALSE),0)</f>
        <v>0</v>
      </c>
      <c r="N133" s="4">
        <f>IFERROR(VLOOKUP("5-2-160101-6-M",data_code, 2,FALSE),0)</f>
        <v>0</v>
      </c>
      <c r="O133" s="18">
        <f>IFERROR(VLOOKUP("5-2-160101-6-F",data_code, 2,FALSE),0)</f>
        <v>0</v>
      </c>
      <c r="P133" s="4">
        <f>IFERROR(VLOOKUP("5-2-160101-7-M",data_code, 2,FALSE),0)</f>
        <v>0</v>
      </c>
      <c r="Q133" s="18">
        <f>IFERROR(VLOOKUP("5-2-160101-7-F",data_code, 2,FALSE),0)</f>
        <v>1</v>
      </c>
      <c r="R133" s="4">
        <f>IFERROR(VLOOKUP("5-2-160101-8-M",data_code, 2,FALSE),0)</f>
        <v>0</v>
      </c>
      <c r="S133" s="18">
        <f>IFERROR(VLOOKUP("5-2-160101-8-F",data_code, 2,FALSE),0)</f>
        <v>0</v>
      </c>
      <c r="T133" s="4">
        <f>IFERROR(VLOOKUP("5-2-160101-9-M",data_code, 2,FALSE),0)</f>
        <v>0</v>
      </c>
      <c r="U133" s="18">
        <f>IFERROR(VLOOKUP("5-2-160101-9-F",data_code, 2,FALSE),0)</f>
        <v>0</v>
      </c>
      <c r="V133" s="4">
        <f t="shared" ref="V133" si="67">SUMIF($D$2:$U$2,"Men",D133:U133)</f>
        <v>0</v>
      </c>
      <c r="W133" s="18">
        <f t="shared" ref="W133" si="68">SUMIF($D$2:$U$2,"Women",D133:U133)</f>
        <v>2</v>
      </c>
      <c r="X133" s="38">
        <f t="shared" ref="X133" si="69">SUM(V133:W133)</f>
        <v>2</v>
      </c>
    </row>
    <row r="134" spans="2:24">
      <c r="B134" s="5" t="s">
        <v>444</v>
      </c>
      <c r="C134" s="6" t="s">
        <v>975</v>
      </c>
      <c r="D134" s="4">
        <f>IFERROR(VLOOKUP("5-2-302001-1-M",data_code, 2,FALSE),0)</f>
        <v>0</v>
      </c>
      <c r="E134" s="18">
        <f>IFERROR(VLOOKUP("5-2-302001-1-F",data_code, 2,FALSE),0)</f>
        <v>0</v>
      </c>
      <c r="F134" s="4">
        <f>IFERROR(VLOOKUP("5-2-302001-2-M",data_code, 2,FALSE),0)</f>
        <v>0</v>
      </c>
      <c r="G134" s="18">
        <f>IFERROR(VLOOKUP("5-2-302001-2-F",data_code, 2,FALSE),0)</f>
        <v>0</v>
      </c>
      <c r="H134" s="4">
        <f>IFERROR(VLOOKUP("5-2-302001-3-M",data_code, 2,FALSE),0)</f>
        <v>0</v>
      </c>
      <c r="I134" s="18">
        <f>IFERROR(VLOOKUP("5-2-302001-3-F",data_code, 2,FALSE),0)</f>
        <v>0</v>
      </c>
      <c r="J134" s="4">
        <f>IFERROR(VLOOKUP("5-2-302001-4-M",data_code, 2,FALSE),0)</f>
        <v>0</v>
      </c>
      <c r="K134" s="18">
        <f>IFERROR(VLOOKUP("5-2-302001-4-F",data_code, 2,FALSE),0)</f>
        <v>0</v>
      </c>
      <c r="L134" s="4">
        <f>IFERROR(VLOOKUP("5-2-302001-5-M",data_code, 2,FALSE),0)</f>
        <v>0</v>
      </c>
      <c r="M134" s="18">
        <f>IFERROR(VLOOKUP("5-2-302001-5-F",data_code, 2,FALSE),0)</f>
        <v>0</v>
      </c>
      <c r="N134" s="4">
        <f>IFERROR(VLOOKUP("5-2-302001-6-M",data_code, 2,FALSE),0)</f>
        <v>0</v>
      </c>
      <c r="O134" s="18">
        <f>IFERROR(VLOOKUP("5-2-302001-6-F",data_code, 2,FALSE),0)</f>
        <v>0</v>
      </c>
      <c r="P134" s="4">
        <f>IFERROR(VLOOKUP("5-2-302001-7-M",data_code, 2,FALSE),0)</f>
        <v>0</v>
      </c>
      <c r="Q134" s="18">
        <f>IFERROR(VLOOKUP("5-2-302001-7-F",data_code, 2,FALSE),0)</f>
        <v>2</v>
      </c>
      <c r="R134" s="4">
        <f>IFERROR(VLOOKUP("5-2-302001-8-M",data_code, 2,FALSE),0)</f>
        <v>0</v>
      </c>
      <c r="S134" s="18">
        <f>IFERROR(VLOOKUP("5-2-302001-8-F",data_code, 2,FALSE),0)</f>
        <v>0</v>
      </c>
      <c r="T134" s="4">
        <f>IFERROR(VLOOKUP("5-2-302001-9-M",data_code, 2,FALSE),0)</f>
        <v>0</v>
      </c>
      <c r="U134" s="18">
        <f>IFERROR(VLOOKUP("5-2-302001-9-F",data_code, 2,FALSE),0)</f>
        <v>0</v>
      </c>
      <c r="V134" s="4">
        <f t="shared" ref="V134" si="70">SUMIF($D$2:$U$2,"Men",D134:U134)</f>
        <v>0</v>
      </c>
      <c r="W134" s="18">
        <f t="shared" ref="W134" si="71">SUMIF($D$2:$U$2,"Women",D134:U134)</f>
        <v>2</v>
      </c>
      <c r="X134" s="38">
        <f t="shared" ref="X134" si="72">SUM(V134:W134)</f>
        <v>2</v>
      </c>
    </row>
    <row r="135" spans="2:24">
      <c r="B135" s="5" t="s">
        <v>532</v>
      </c>
      <c r="C135" s="6" t="s">
        <v>976</v>
      </c>
      <c r="D135" s="4">
        <f>IFERROR(VLOOKUP("5-2-304401-1-M",data_code, 2,FALSE),0)</f>
        <v>0</v>
      </c>
      <c r="E135" s="18">
        <f>IFERROR(VLOOKUP("5-2-304401-1-F",data_code, 2,FALSE),0)</f>
        <v>0</v>
      </c>
      <c r="F135" s="4">
        <f>IFERROR(VLOOKUP("5-2-304401-2-M",data_code, 2,FALSE),0)</f>
        <v>0</v>
      </c>
      <c r="G135" s="18">
        <f>IFERROR(VLOOKUP("5-2-304401-2-F",data_code, 2,FALSE),0)</f>
        <v>0</v>
      </c>
      <c r="H135" s="4">
        <f>IFERROR(VLOOKUP("5-2-304401-3-M",data_code, 2,FALSE),0)</f>
        <v>0</v>
      </c>
      <c r="I135" s="18">
        <f>IFERROR(VLOOKUP("5-2-304401-3-F",data_code, 2,FALSE),0)</f>
        <v>0</v>
      </c>
      <c r="J135" s="4">
        <f>IFERROR(VLOOKUP("5-2-304401-4-M",data_code, 2,FALSE),0)</f>
        <v>1</v>
      </c>
      <c r="K135" s="18">
        <f>IFERROR(VLOOKUP("5-2-304401-4-F",data_code, 2,FALSE),0)</f>
        <v>0</v>
      </c>
      <c r="L135" s="4">
        <f>IFERROR(VLOOKUP("5-2-304401-5-M",data_code, 2,FALSE),0)</f>
        <v>0</v>
      </c>
      <c r="M135" s="18">
        <f>IFERROR(VLOOKUP("5-2-304401-5-F",data_code, 2,FALSE),0)</f>
        <v>0</v>
      </c>
      <c r="N135" s="4">
        <f>IFERROR(VLOOKUP("5-2-304401-6-M",data_code, 2,FALSE),0)</f>
        <v>0</v>
      </c>
      <c r="O135" s="18">
        <f>IFERROR(VLOOKUP("5-2-304401-6-F",data_code, 2,FALSE),0)</f>
        <v>0</v>
      </c>
      <c r="P135" s="4">
        <f>IFERROR(VLOOKUP("5-2-304401-7-M",data_code, 2,FALSE),0)</f>
        <v>0</v>
      </c>
      <c r="Q135" s="18">
        <f>IFERROR(VLOOKUP("5-2-304401-7-F",data_code, 2,FALSE),0)</f>
        <v>0</v>
      </c>
      <c r="R135" s="4">
        <f>IFERROR(VLOOKUP("5-2-304401-8-M",data_code, 2,FALSE),0)</f>
        <v>0</v>
      </c>
      <c r="S135" s="18">
        <f>IFERROR(VLOOKUP("5-2-304401-8-F",data_code, 2,FALSE),0)</f>
        <v>0</v>
      </c>
      <c r="T135" s="4">
        <f>IFERROR(VLOOKUP("5-2-304401-9-M",data_code, 2,FALSE),0)</f>
        <v>0</v>
      </c>
      <c r="U135" s="18">
        <f>IFERROR(VLOOKUP("5-2-304401-9-F",data_code, 2,FALSE),0)</f>
        <v>0</v>
      </c>
      <c r="V135" s="4">
        <f t="shared" ref="V135" si="73">SUMIF($D$2:$U$2,"Men",D135:U135)</f>
        <v>1</v>
      </c>
      <c r="W135" s="18">
        <f t="shared" ref="W135" si="74">SUMIF($D$2:$U$2,"Women",D135:U135)</f>
        <v>0</v>
      </c>
      <c r="X135" s="38">
        <f t="shared" ref="X135" si="75">SUM(V135:W135)</f>
        <v>1</v>
      </c>
    </row>
    <row r="136" spans="2:24">
      <c r="B136" s="5" t="s">
        <v>445</v>
      </c>
      <c r="C136" s="6" t="s">
        <v>732</v>
      </c>
      <c r="D136" s="4">
        <f>IFERROR(VLOOKUP("5-2-230101-1-M",data_code, 2,FALSE),0)</f>
        <v>0</v>
      </c>
      <c r="E136" s="18">
        <f>IFERROR(VLOOKUP("5-2-310505-1-F",data_code, 2,FALSE),0)</f>
        <v>0</v>
      </c>
      <c r="F136" s="4">
        <f>IFERROR(VLOOKUP("5-2-310505-2-M",data_code, 2,FALSE),0)</f>
        <v>0</v>
      </c>
      <c r="G136" s="18">
        <f>IFERROR(VLOOKUP("5-2-310505-2-F",data_code, 2,FALSE),0)</f>
        <v>0</v>
      </c>
      <c r="H136" s="4">
        <f>IFERROR(VLOOKUP("5-2-310505-3-M",data_code, 2,FALSE),0)</f>
        <v>0</v>
      </c>
      <c r="I136" s="18">
        <f>IFERROR(VLOOKUP("5-2-310505-3-F",data_code, 2,FALSE),0)</f>
        <v>0</v>
      </c>
      <c r="J136" s="4">
        <f>IFERROR(VLOOKUP("5-2-310505-4-M",data_code, 2,FALSE),0)</f>
        <v>0</v>
      </c>
      <c r="K136" s="18">
        <f>IFERROR(VLOOKUP("5-2-310505-4-F",data_code, 2,FALSE),0)</f>
        <v>0</v>
      </c>
      <c r="L136" s="4">
        <f>IFERROR(VLOOKUP("5-2-310505-5-M",data_code, 2,FALSE),0)</f>
        <v>0</v>
      </c>
      <c r="M136" s="18">
        <f>IFERROR(VLOOKUP("5-2-310505-5-F",data_code, 2,FALSE),0)</f>
        <v>0</v>
      </c>
      <c r="N136" s="4">
        <f>IFERROR(VLOOKUP("5-2-310505-6-M",data_code, 2,FALSE),0)</f>
        <v>0</v>
      </c>
      <c r="O136" s="18">
        <f>IFERROR(VLOOKUP("5-2-310505-6-F",data_code, 2,FALSE),0)</f>
        <v>0</v>
      </c>
      <c r="P136" s="4">
        <f>IFERROR(VLOOKUP("5-2-310505-7-M",data_code, 2,FALSE),0)</f>
        <v>0</v>
      </c>
      <c r="Q136" s="18">
        <f>IFERROR(VLOOKUP("5-2-310505-7-F",data_code, 2,FALSE),0)</f>
        <v>1</v>
      </c>
      <c r="R136" s="4">
        <f>IFERROR(VLOOKUP("5-2-310505-8-M",data_code, 2,FALSE),0)</f>
        <v>0</v>
      </c>
      <c r="S136" s="18">
        <f>IFERROR(VLOOKUP("5-2-310505-8-F",data_code, 2,FALSE),0)</f>
        <v>0</v>
      </c>
      <c r="T136" s="4">
        <f>IFERROR(VLOOKUP("5-2-310505-9-M",data_code, 2,FALSE),0)</f>
        <v>0</v>
      </c>
      <c r="U136" s="18">
        <f>IFERROR(VLOOKUP("5-2-310505-9-F",data_code, 2,FALSE),0)</f>
        <v>0</v>
      </c>
      <c r="V136" s="4">
        <f t="shared" ref="V136:V142" si="76">SUMIF($D$2:$U$2,"Men",D136:U136)</f>
        <v>0</v>
      </c>
      <c r="W136" s="18">
        <f t="shared" ref="W136:W142" si="77">SUMIF($D$2:$U$2,"Women",D136:U136)</f>
        <v>1</v>
      </c>
      <c r="X136" s="38">
        <f t="shared" si="66"/>
        <v>1</v>
      </c>
    </row>
    <row r="137" spans="2:24">
      <c r="B137" s="5" t="s">
        <v>446</v>
      </c>
      <c r="C137" s="6" t="s">
        <v>531</v>
      </c>
      <c r="D137" s="4">
        <f>IFERROR(VLOOKUP("5-2-380101-1-M",data_code, 2,FALSE),0)</f>
        <v>0</v>
      </c>
      <c r="E137" s="18">
        <f>IFERROR(VLOOKUP("5-2-380101-1-F",data_code, 2,FALSE),0)</f>
        <v>0</v>
      </c>
      <c r="F137" s="4">
        <f>IFERROR(VLOOKUP("5-2-380101-2-M",data_code, 2,FALSE),0)</f>
        <v>1</v>
      </c>
      <c r="G137" s="18">
        <f>IFERROR(VLOOKUP("5-2-380101-2-F",data_code, 2,FALSE),0)</f>
        <v>0</v>
      </c>
      <c r="H137" s="4">
        <f>IFERROR(VLOOKUP("5-2-380101-3-M",data_code, 2,FALSE),0)</f>
        <v>0</v>
      </c>
      <c r="I137" s="18">
        <f>IFERROR(VLOOKUP("5-2-380101-3-F",data_code, 2,FALSE),0)</f>
        <v>0</v>
      </c>
      <c r="J137" s="4">
        <f>IFERROR(VLOOKUP("5-2-380101-4-M",data_code, 2,FALSE),0)</f>
        <v>0</v>
      </c>
      <c r="K137" s="18">
        <f>IFERROR(VLOOKUP("5-2-380101-4-F",data_code, 2,FALSE),0)</f>
        <v>0</v>
      </c>
      <c r="L137" s="4">
        <f>IFERROR(VLOOKUP("5-2-380101-5-M",data_code, 2,FALSE),0)</f>
        <v>0</v>
      </c>
      <c r="M137" s="18">
        <f>IFERROR(VLOOKUP("5-2-380101-5-F",data_code, 2,FALSE),0)</f>
        <v>0</v>
      </c>
      <c r="N137" s="4">
        <f>IFERROR(VLOOKUP("5-2-380101-6-M",data_code, 2,FALSE),0)</f>
        <v>0</v>
      </c>
      <c r="O137" s="18">
        <f>IFERROR(VLOOKUP("5-2-380101-6-F",data_code, 2,FALSE),0)</f>
        <v>0</v>
      </c>
      <c r="P137" s="4">
        <f>IFERROR(VLOOKUP("5-2-380101-7-M",data_code, 2,FALSE),0)</f>
        <v>0</v>
      </c>
      <c r="Q137" s="18">
        <f>IFERROR(VLOOKUP("5-2-380101-7-F",data_code, 2,FALSE),0)</f>
        <v>0</v>
      </c>
      <c r="R137" s="4">
        <f>IFERROR(VLOOKUP("5-2-380101-8-M",data_code, 2,FALSE),0)</f>
        <v>0</v>
      </c>
      <c r="S137" s="18">
        <f>IFERROR(VLOOKUP("5-2-380101-8-F",data_code, 2,FALSE),0)</f>
        <v>0</v>
      </c>
      <c r="T137" s="4">
        <f>IFERROR(VLOOKUP("5-2-380101-9-M",data_code, 2,FALSE),0)</f>
        <v>0</v>
      </c>
      <c r="U137" s="18">
        <f>IFERROR(VLOOKUP("5-2-380101-9-F",data_code, 2,FALSE),0)</f>
        <v>0</v>
      </c>
      <c r="V137" s="4">
        <f t="shared" si="76"/>
        <v>1</v>
      </c>
      <c r="W137" s="18">
        <f t="shared" si="77"/>
        <v>0</v>
      </c>
      <c r="X137" s="38">
        <f t="shared" si="66"/>
        <v>1</v>
      </c>
    </row>
    <row r="138" spans="2:24">
      <c r="B138" s="5" t="s">
        <v>373</v>
      </c>
      <c r="C138" s="6" t="s">
        <v>0</v>
      </c>
      <c r="D138" s="4">
        <f>IFERROR(VLOOKUP("5-2-420101-1-M",data_code, 2,FALSE),0)</f>
        <v>0</v>
      </c>
      <c r="E138" s="18">
        <f>IFERROR(VLOOKUP("5-2-420101-1-F",data_code, 2,FALSE),0)</f>
        <v>0</v>
      </c>
      <c r="F138" s="4">
        <f>IFERROR(VLOOKUP("5-2-420101-2-M",data_code, 2,FALSE),0)</f>
        <v>0</v>
      </c>
      <c r="G138" s="18">
        <f>IFERROR(VLOOKUP("5-2-420101-2-F",data_code, 2,FALSE),0)</f>
        <v>0</v>
      </c>
      <c r="H138" s="4">
        <f>IFERROR(VLOOKUP("5-2-420101-3-M",data_code, 2,FALSE),0)</f>
        <v>0</v>
      </c>
      <c r="I138" s="18">
        <f>IFERROR(VLOOKUP("5-2-420101-3-F",data_code, 2,FALSE),0)</f>
        <v>0</v>
      </c>
      <c r="J138" s="4">
        <f>IFERROR(VLOOKUP("5-2-420101-4-M",data_code, 2,FALSE),0)</f>
        <v>0</v>
      </c>
      <c r="K138" s="18">
        <f>IFERROR(VLOOKUP("5-2-420101-4-F",data_code, 2,FALSE),0)</f>
        <v>0</v>
      </c>
      <c r="L138" s="4">
        <f>IFERROR(VLOOKUP("5-2-420101-5-M",data_code, 2,FALSE),0)</f>
        <v>0</v>
      </c>
      <c r="M138" s="18">
        <f>IFERROR(VLOOKUP("5-2-420101-5-F",data_code, 2,FALSE),0)</f>
        <v>0</v>
      </c>
      <c r="N138" s="4">
        <f>IFERROR(VLOOKUP("5-2-420101-6-M",data_code, 2,FALSE),0)</f>
        <v>0</v>
      </c>
      <c r="O138" s="18">
        <f>IFERROR(VLOOKUP("5-2-420101-6-F",data_code, 2,FALSE),0)</f>
        <v>0</v>
      </c>
      <c r="P138" s="4">
        <f>IFERROR(VLOOKUP("5-2-420101-7-M",data_code, 2,FALSE),0)</f>
        <v>1</v>
      </c>
      <c r="Q138" s="18">
        <f>IFERROR(VLOOKUP("5-2-420101-7-F",data_code, 2,FALSE),0)</f>
        <v>5</v>
      </c>
      <c r="R138" s="4">
        <f>IFERROR(VLOOKUP("5-2-420101-8-M",data_code, 2,FALSE),0)</f>
        <v>0</v>
      </c>
      <c r="S138" s="18">
        <f>IFERROR(VLOOKUP("5-2-420101-8-F",data_code, 2,FALSE),0)</f>
        <v>0</v>
      </c>
      <c r="T138" s="4">
        <f>IFERROR(VLOOKUP("5-2-420101-9-M",data_code, 2,FALSE),0)</f>
        <v>0</v>
      </c>
      <c r="U138" s="18">
        <f>IFERROR(VLOOKUP("5-2-420101-9-F",data_code, 2,FALSE),0)</f>
        <v>0</v>
      </c>
      <c r="V138" s="4">
        <f t="shared" si="76"/>
        <v>1</v>
      </c>
      <c r="W138" s="18">
        <f t="shared" si="77"/>
        <v>5</v>
      </c>
      <c r="X138" s="38">
        <f t="shared" si="66"/>
        <v>6</v>
      </c>
    </row>
    <row r="139" spans="2:24">
      <c r="B139" s="5" t="s">
        <v>374</v>
      </c>
      <c r="C139" s="6" t="s">
        <v>1</v>
      </c>
      <c r="D139" s="4">
        <f>IFERROR(VLOOKUP("5-2-430104-1-M",data_code, 2,FALSE),0)</f>
        <v>0</v>
      </c>
      <c r="E139" s="18">
        <f>IFERROR(VLOOKUP("5-2-430104-1-F",data_code, 2,FALSE),0)</f>
        <v>0</v>
      </c>
      <c r="F139" s="4">
        <f>IFERROR(VLOOKUP("5-2-430104-2-M",data_code, 2,FALSE),0)</f>
        <v>0</v>
      </c>
      <c r="G139" s="18">
        <f>IFERROR(VLOOKUP("5-2-430104-2-F",data_code, 2,FALSE),0)</f>
        <v>0</v>
      </c>
      <c r="H139" s="4">
        <f>IFERROR(VLOOKUP("5-2-430104-3-M",data_code, 2,FALSE),0)</f>
        <v>0</v>
      </c>
      <c r="I139" s="18">
        <f>IFERROR(VLOOKUP("5-2-430104-3-F",data_code, 2,FALSE),0)</f>
        <v>0</v>
      </c>
      <c r="J139" s="4">
        <f>IFERROR(VLOOKUP("5-2-430104-4-M",data_code, 2,FALSE),0)</f>
        <v>0</v>
      </c>
      <c r="K139" s="18">
        <f>IFERROR(VLOOKUP("5-2-430104-4-F",data_code, 2,FALSE),0)</f>
        <v>0</v>
      </c>
      <c r="L139" s="4">
        <f>IFERROR(VLOOKUP("5-2-430104-5-M",data_code, 2,FALSE),0)</f>
        <v>0</v>
      </c>
      <c r="M139" s="18">
        <f>IFERROR(VLOOKUP("5-2-430104-5-F",data_code, 2,FALSE),0)</f>
        <v>0</v>
      </c>
      <c r="N139" s="4">
        <f>IFERROR(VLOOKUP("5-2-430104-6-M",data_code, 2,FALSE),0)</f>
        <v>0</v>
      </c>
      <c r="O139" s="18">
        <f>IFERROR(VLOOKUP("5-2-430104-6-F",data_code, 2,FALSE),0)</f>
        <v>0</v>
      </c>
      <c r="P139" s="4">
        <f>IFERROR(VLOOKUP("5-2-430104-7-M",data_code, 2,FALSE),0)</f>
        <v>1</v>
      </c>
      <c r="Q139" s="18">
        <f>IFERROR(VLOOKUP("5-2-430104-7-F",data_code, 2,FALSE),0)</f>
        <v>4</v>
      </c>
      <c r="R139" s="4">
        <f>IFERROR(VLOOKUP("5-2-430104-8-M",data_code, 2,FALSE),0)</f>
        <v>0</v>
      </c>
      <c r="S139" s="18">
        <f>IFERROR(VLOOKUP("5-2-430104-8-F",data_code, 2,FALSE),0)</f>
        <v>0</v>
      </c>
      <c r="T139" s="4">
        <f>IFERROR(VLOOKUP("5-2-430104-9-M",data_code, 2,FALSE),0)</f>
        <v>0</v>
      </c>
      <c r="U139" s="18">
        <f>IFERROR(VLOOKUP("5-2-430104-9-F",data_code, 2,FALSE),0)</f>
        <v>0</v>
      </c>
      <c r="V139" s="4">
        <f t="shared" si="76"/>
        <v>1</v>
      </c>
      <c r="W139" s="18">
        <f t="shared" si="77"/>
        <v>4</v>
      </c>
      <c r="X139" s="38">
        <f t="shared" si="66"/>
        <v>5</v>
      </c>
    </row>
    <row r="140" spans="2:24">
      <c r="B140" s="5" t="s">
        <v>415</v>
      </c>
      <c r="C140" s="6" t="s">
        <v>416</v>
      </c>
      <c r="D140" s="4">
        <f>IFERROR(VLOOKUP("5-2-450201-1-M",data_code, 2,FALSE),0)</f>
        <v>0</v>
      </c>
      <c r="E140" s="18">
        <f>IFERROR(VLOOKUP("5-2-450201-1-F",data_code, 2,FALSE),0)</f>
        <v>0</v>
      </c>
      <c r="F140" s="4">
        <f>IFERROR(VLOOKUP("5-2-450201-2-M",data_code, 2,FALSE),0)</f>
        <v>0</v>
      </c>
      <c r="G140" s="18">
        <f>IFERROR(VLOOKUP("5-2-450201-2-F",data_code, 2,FALSE),0)</f>
        <v>0</v>
      </c>
      <c r="H140" s="4">
        <f>IFERROR(VLOOKUP("5-2-450201-3-M",data_code, 2,FALSE),0)</f>
        <v>0</v>
      </c>
      <c r="I140" s="18">
        <f>IFERROR(VLOOKUP("5-2-450201-3-F",data_code, 2,FALSE),0)</f>
        <v>0</v>
      </c>
      <c r="J140" s="4">
        <f>IFERROR(VLOOKUP("5-2-450201-4-M",data_code, 2,FALSE),0)</f>
        <v>0</v>
      </c>
      <c r="K140" s="18">
        <f>IFERROR(VLOOKUP("5-2-450201-4-F",data_code, 2,FALSE),0)</f>
        <v>0</v>
      </c>
      <c r="L140" s="4">
        <f>IFERROR(VLOOKUP("5-2-450201-5-M",data_code, 2,FALSE),0)</f>
        <v>0</v>
      </c>
      <c r="M140" s="18">
        <f>IFERROR(VLOOKUP("5-2-450201-5-F",data_code, 2,FALSE),0)</f>
        <v>0</v>
      </c>
      <c r="N140" s="4">
        <f>IFERROR(VLOOKUP("5-2-450201-6-M",data_code, 2,FALSE),0)</f>
        <v>0</v>
      </c>
      <c r="O140" s="18">
        <f>IFERROR(VLOOKUP("5-2-450201-6-F",data_code, 2,FALSE),0)</f>
        <v>0</v>
      </c>
      <c r="P140" s="4">
        <f>IFERROR(VLOOKUP("5-2-450201-7-M",data_code, 2,FALSE),0)</f>
        <v>1</v>
      </c>
      <c r="Q140" s="18">
        <f>IFERROR(VLOOKUP("5-2-450201-7-F",data_code, 2,FALSE),0)</f>
        <v>1</v>
      </c>
      <c r="R140" s="4">
        <f>IFERROR(VLOOKUP("5-2-450201-8-M",data_code, 2,FALSE),0)</f>
        <v>0</v>
      </c>
      <c r="S140" s="18">
        <f>IFERROR(VLOOKUP("5-2-450201-8-F",data_code, 2,FALSE),0)</f>
        <v>0</v>
      </c>
      <c r="T140" s="4">
        <f>IFERROR(VLOOKUP("5-2-450201-9-M",data_code, 2,FALSE),0)</f>
        <v>0</v>
      </c>
      <c r="U140" s="18">
        <f>IFERROR(VLOOKUP("5-2-450201-9-F",data_code, 2,FALSE),0)</f>
        <v>0</v>
      </c>
      <c r="V140" s="4">
        <f>SUMIF($D$2:$U$2,"Men",D140:U140)</f>
        <v>1</v>
      </c>
      <c r="W140" s="18">
        <f>SUMIF($D$2:$U$2,"Women",D140:U140)</f>
        <v>1</v>
      </c>
      <c r="X140" s="38">
        <f>SUM(V140:W140)</f>
        <v>2</v>
      </c>
    </row>
    <row r="141" spans="2:24">
      <c r="B141" s="5" t="s">
        <v>450</v>
      </c>
      <c r="C141" s="6" t="s">
        <v>977</v>
      </c>
      <c r="D141" s="4">
        <f>IFERROR(VLOOKUP("5-2-450601-1-M",data_code, 2,FALSE),0)</f>
        <v>0</v>
      </c>
      <c r="E141" s="18">
        <f>IFERROR(VLOOKUP("5-2-450601-1-F",data_code, 2,FALSE),0)</f>
        <v>0</v>
      </c>
      <c r="F141" s="4">
        <f>IFERROR(VLOOKUP("5-2-450601-2-M",data_code, 2,FALSE),0)</f>
        <v>0</v>
      </c>
      <c r="G141" s="18">
        <f>IFERROR(VLOOKUP("5-2-450601-2-F",data_code, 2,FALSE),0)</f>
        <v>0</v>
      </c>
      <c r="H141" s="4">
        <f>IFERROR(VLOOKUP("5-2-450601-3-M",data_code, 2,FALSE),0)</f>
        <v>0</v>
      </c>
      <c r="I141" s="18">
        <f>IFERROR(VLOOKUP("5-2-450601-3-F",data_code, 2,FALSE),0)</f>
        <v>0</v>
      </c>
      <c r="J141" s="4">
        <f>IFERROR(VLOOKUP("5-2-450601-4-M",data_code, 2,FALSE),0)</f>
        <v>1</v>
      </c>
      <c r="K141" s="18">
        <f>IFERROR(VLOOKUP("5-2-450601-4-F",data_code, 2,FALSE),0)</f>
        <v>0</v>
      </c>
      <c r="L141" s="4">
        <f>IFERROR(VLOOKUP("5-2-450601-5-M",data_code, 2,FALSE),0)</f>
        <v>0</v>
      </c>
      <c r="M141" s="18">
        <f>IFERROR(VLOOKUP("5-2-450601-5-F",data_code, 2,FALSE),0)</f>
        <v>0</v>
      </c>
      <c r="N141" s="4">
        <f>IFERROR(VLOOKUP("5-2-450601-6-M",data_code, 2,FALSE),0)</f>
        <v>0</v>
      </c>
      <c r="O141" s="18">
        <f>IFERROR(VLOOKUP("5-2-450601-6-F",data_code, 2,FALSE),0)</f>
        <v>0</v>
      </c>
      <c r="P141" s="4">
        <f>IFERROR(VLOOKUP("5-2-450601-7-M",data_code, 2,FALSE),0)</f>
        <v>1</v>
      </c>
      <c r="Q141" s="18">
        <f>IFERROR(VLOOKUP("5-2-450601-7-F",data_code, 2,FALSE),0)</f>
        <v>1</v>
      </c>
      <c r="R141" s="4">
        <f>IFERROR(VLOOKUP("5-2-450601-8-M",data_code, 2,FALSE),0)</f>
        <v>0</v>
      </c>
      <c r="S141" s="18">
        <f>IFERROR(VLOOKUP("5-2-450601-8-F",data_code, 2,FALSE),0)</f>
        <v>1</v>
      </c>
      <c r="T141" s="4">
        <f>IFERROR(VLOOKUP("5-2-450601-9-M",data_code, 2,FALSE),0)</f>
        <v>0</v>
      </c>
      <c r="U141" s="18">
        <f>IFERROR(VLOOKUP("5-2-450601-9-F",data_code, 2,FALSE),0)</f>
        <v>0</v>
      </c>
      <c r="V141" s="4">
        <f t="shared" si="76"/>
        <v>2</v>
      </c>
      <c r="W141" s="18">
        <f t="shared" si="77"/>
        <v>2</v>
      </c>
      <c r="X141" s="38">
        <f t="shared" si="66"/>
        <v>4</v>
      </c>
    </row>
    <row r="142" spans="2:24">
      <c r="B142" s="5" t="s">
        <v>376</v>
      </c>
      <c r="C142" s="6" t="s">
        <v>2</v>
      </c>
      <c r="D142" s="4">
        <f>IFERROR(VLOOKUP("5-2-451101-1-M",data_code, 2,FALSE),0)</f>
        <v>0</v>
      </c>
      <c r="E142" s="18">
        <f>IFERROR(VLOOKUP("5-2-451101-1-F",data_code, 2,FALSE),0)</f>
        <v>0</v>
      </c>
      <c r="F142" s="4">
        <f>IFERROR(VLOOKUP("5-2-451101-2-M",data_code, 2,FALSE),0)</f>
        <v>0</v>
      </c>
      <c r="G142" s="18">
        <f>IFERROR(VLOOKUP("5-2-451101-2-F",data_code, 2,FALSE),0)</f>
        <v>0</v>
      </c>
      <c r="H142" s="4">
        <f>IFERROR(VLOOKUP("5-2-451101-3-M",data_code, 2,FALSE),0)</f>
        <v>0</v>
      </c>
      <c r="I142" s="18">
        <f>IFERROR(VLOOKUP("5-2-451101-3-F",data_code, 2,FALSE),0)</f>
        <v>0</v>
      </c>
      <c r="J142" s="4">
        <f>IFERROR(VLOOKUP("5-2-451101-4-M",data_code, 2,FALSE),0)</f>
        <v>0</v>
      </c>
      <c r="K142" s="18">
        <f>IFERROR(VLOOKUP("5-2-451101-4-F",data_code, 2,FALSE),0)</f>
        <v>0</v>
      </c>
      <c r="L142" s="4">
        <f>IFERROR(VLOOKUP("5-2-451101-5-M",data_code, 2,FALSE),0)</f>
        <v>0</v>
      </c>
      <c r="M142" s="18">
        <f>IFERROR(VLOOKUP("5-2-451101-5-F",data_code, 2,FALSE),0)</f>
        <v>0</v>
      </c>
      <c r="N142" s="4">
        <f>IFERROR(VLOOKUP("5-2-451101-6-M",data_code, 2,FALSE),0)</f>
        <v>0</v>
      </c>
      <c r="O142" s="18">
        <f>IFERROR(VLOOKUP("5-2-451101-6-F",data_code, 2,FALSE),0)</f>
        <v>0</v>
      </c>
      <c r="P142" s="4">
        <f>IFERROR(VLOOKUP("5-2-451101-7-M",data_code, 2,FALSE),0)</f>
        <v>1</v>
      </c>
      <c r="Q142" s="18">
        <f>IFERROR(VLOOKUP("5-2-451101-7-F",data_code, 2,FALSE),0)</f>
        <v>2</v>
      </c>
      <c r="R142" s="4">
        <f>IFERROR(VLOOKUP("5-2-451101-8-M",data_code, 2,FALSE),0)</f>
        <v>0</v>
      </c>
      <c r="S142" s="18">
        <f>IFERROR(VLOOKUP("5-2-451101-8-F",data_code, 2,FALSE),0)</f>
        <v>0</v>
      </c>
      <c r="T142" s="4">
        <f>IFERROR(VLOOKUP("5-2-451101-9-M",data_code, 2,FALSE),0)</f>
        <v>0</v>
      </c>
      <c r="U142" s="18">
        <f>IFERROR(VLOOKUP("5-2-451101-9-F",data_code, 2,FALSE),0)</f>
        <v>0</v>
      </c>
      <c r="V142" s="4">
        <f t="shared" si="76"/>
        <v>1</v>
      </c>
      <c r="W142" s="18">
        <f t="shared" si="77"/>
        <v>2</v>
      </c>
      <c r="X142" s="38">
        <f t="shared" si="66"/>
        <v>3</v>
      </c>
    </row>
    <row r="143" spans="2:24">
      <c r="B143" s="5" t="s">
        <v>452</v>
      </c>
      <c r="C143" s="6" t="s">
        <v>733</v>
      </c>
      <c r="D143" s="4">
        <f>IFERROR(VLOOKUP("5-2-500701-1-M",data_code, 2,FALSE),0)</f>
        <v>0</v>
      </c>
      <c r="E143" s="18">
        <f>IFERROR(VLOOKUP("5-2-500701-1-F",data_code, 2,FALSE),0)</f>
        <v>0</v>
      </c>
      <c r="F143" s="4">
        <f>IFERROR(VLOOKUP("5-2-500701-2-M",data_code, 2,FALSE),0)</f>
        <v>0</v>
      </c>
      <c r="G143" s="18">
        <f>IFERROR(VLOOKUP("5-2-500701-2-F",data_code, 2,FALSE),0)</f>
        <v>0</v>
      </c>
      <c r="H143" s="4">
        <f>IFERROR(VLOOKUP("5-2-500701-3-M",data_code, 2,FALSE),0)</f>
        <v>0</v>
      </c>
      <c r="I143" s="18">
        <f>IFERROR(VLOOKUP("5-2-500701-3-F",data_code, 2,FALSE),0)</f>
        <v>0</v>
      </c>
      <c r="J143" s="4">
        <f>IFERROR(VLOOKUP("5-2-500701-4-M",data_code, 2,FALSE),0)</f>
        <v>0</v>
      </c>
      <c r="K143" s="18">
        <f>IFERROR(VLOOKUP("5-2-500701-4-F",data_code, 2,FALSE),0)</f>
        <v>0</v>
      </c>
      <c r="L143" s="4">
        <f>IFERROR(VLOOKUP("5-2-500701-5-M",data_code, 2,FALSE),0)</f>
        <v>0</v>
      </c>
      <c r="M143" s="18">
        <f>IFERROR(VLOOKUP("5-2-500701-5-F",data_code, 2,FALSE),0)</f>
        <v>0</v>
      </c>
      <c r="N143" s="4">
        <f>IFERROR(VLOOKUP("5-2-500701-6-M",data_code, 2,FALSE),0)</f>
        <v>0</v>
      </c>
      <c r="O143" s="18">
        <f>IFERROR(VLOOKUP("5-2-500701-6-F",data_code, 2,FALSE),0)</f>
        <v>0</v>
      </c>
      <c r="P143" s="4">
        <f>IFERROR(VLOOKUP("5-2-500701-7-M",data_code, 2,FALSE),0)</f>
        <v>0</v>
      </c>
      <c r="Q143" s="18">
        <f>IFERROR(VLOOKUP("5-2-500701-7-F",data_code, 2,FALSE),0)</f>
        <v>1</v>
      </c>
      <c r="R143" s="4">
        <f>IFERROR(VLOOKUP("5-2-500701-8-M",data_code, 2,FALSE),0)</f>
        <v>0</v>
      </c>
      <c r="S143" s="18">
        <f>IFERROR(VLOOKUP("5-2-500701-8-F",data_code, 2,FALSE),0)</f>
        <v>0</v>
      </c>
      <c r="T143" s="4">
        <f>IFERROR(VLOOKUP("5-2-500701-9-M",data_code, 2,FALSE),0)</f>
        <v>0</v>
      </c>
      <c r="U143" s="18">
        <f>IFERROR(VLOOKUP("5-2-500701-9-F",data_code, 2,FALSE),0)</f>
        <v>0</v>
      </c>
      <c r="V143" s="4">
        <f t="shared" ref="V143" si="78">SUMIF($D$2:$U$2,"Men",D143:U143)</f>
        <v>0</v>
      </c>
      <c r="W143" s="18">
        <f t="shared" ref="W143" si="79">SUMIF($D$2:$U$2,"Women",D143:U143)</f>
        <v>1</v>
      </c>
      <c r="X143" s="38">
        <f t="shared" ref="X143:X144" si="80">SUM(V143:W143)</f>
        <v>1</v>
      </c>
    </row>
    <row r="144" spans="2:24">
      <c r="B144" s="5" t="s">
        <v>457</v>
      </c>
      <c r="C144" s="6" t="s">
        <v>978</v>
      </c>
      <c r="D144" s="4">
        <f>IFERROR(VLOOKUP("5-2-513102-1-M",data_code, 2,FALSE),0)</f>
        <v>0</v>
      </c>
      <c r="E144" s="18">
        <f>IFERROR(VLOOKUP("5-2-513102-1-F",data_code, 2,FALSE),0)</f>
        <v>0</v>
      </c>
      <c r="F144" s="4">
        <f>IFERROR(VLOOKUP("5-2-513102-2-M",data_code, 2,FALSE),0)</f>
        <v>0</v>
      </c>
      <c r="G144" s="18">
        <f>IFERROR(VLOOKUP("5-2-513102-2-F",data_code, 2,FALSE),0)</f>
        <v>0</v>
      </c>
      <c r="H144" s="4">
        <f>IFERROR(VLOOKUP("5-2-513102-3-M",data_code, 2,FALSE),0)</f>
        <v>0</v>
      </c>
      <c r="I144" s="18">
        <f>IFERROR(VLOOKUP("5-2-513102-3-F",data_code, 2,FALSE),0)</f>
        <v>0</v>
      </c>
      <c r="J144" s="4">
        <f>IFERROR(VLOOKUP("5-2-513102-4-M",data_code, 2,FALSE),0)</f>
        <v>0</v>
      </c>
      <c r="K144" s="18">
        <f>IFERROR(VLOOKUP("5-2-513102-4-F",data_code, 2,FALSE),0)</f>
        <v>0</v>
      </c>
      <c r="L144" s="4">
        <f>IFERROR(VLOOKUP("5-2-513102-5-M",data_code, 2,FALSE),0)</f>
        <v>0</v>
      </c>
      <c r="M144" s="18">
        <f>IFERROR(VLOOKUP("5-2-513102-5-F",data_code, 2,FALSE),0)</f>
        <v>0</v>
      </c>
      <c r="N144" s="4">
        <f>IFERROR(VLOOKUP("5-2-513102-6-M",data_code, 2,FALSE),0)</f>
        <v>0</v>
      </c>
      <c r="O144" s="18">
        <f>IFERROR(VLOOKUP("5-2-513102-6-F",data_code, 2,FALSE),0)</f>
        <v>0</v>
      </c>
      <c r="P144" s="4">
        <f>IFERROR(VLOOKUP("5-2-513102-7-M",data_code, 2,FALSE),0)</f>
        <v>0</v>
      </c>
      <c r="Q144" s="18">
        <f>IFERROR(VLOOKUP("5-2-513102-7-F",data_code, 2,FALSE),0)</f>
        <v>1</v>
      </c>
      <c r="R144" s="4">
        <f>IFERROR(VLOOKUP("5-2-513102-8-M",data_code, 2,FALSE),0)</f>
        <v>0</v>
      </c>
      <c r="S144" s="18">
        <f>IFERROR(VLOOKUP("5-2-513102-8-F",data_code, 2,FALSE),0)</f>
        <v>0</v>
      </c>
      <c r="T144" s="4">
        <f>IFERROR(VLOOKUP("5-2-513102-9-M",data_code, 2,FALSE),0)</f>
        <v>0</v>
      </c>
      <c r="U144" s="18">
        <f>IFERROR(VLOOKUP("5-2-513102-9-F",data_code, 2,FALSE),0)</f>
        <v>0</v>
      </c>
      <c r="V144" s="4">
        <f>SUMIF($D$2:$U$2,"Men",D144:U144)</f>
        <v>0</v>
      </c>
      <c r="W144" s="18">
        <f>SUMIF($D$2:$U$2,"Women",D144:U144)</f>
        <v>1</v>
      </c>
      <c r="X144" s="38">
        <f t="shared" si="80"/>
        <v>1</v>
      </c>
    </row>
    <row r="145" spans="2:24">
      <c r="B145" s="8" t="s">
        <v>417</v>
      </c>
      <c r="C145" s="9" t="s">
        <v>418</v>
      </c>
      <c r="D145" s="19">
        <f>IFERROR(VLOOKUP("5-2-540101-1-M",data_code, 2,FALSE),0)</f>
        <v>0</v>
      </c>
      <c r="E145" s="18">
        <f>IFERROR(VLOOKUP("5-2-540101-1-F",data_code, 2,FALSE),0)</f>
        <v>0</v>
      </c>
      <c r="F145" s="4">
        <f>IFERROR(VLOOKUP("5-2-540101-2-M",data_code, 2,FALSE),0)</f>
        <v>0</v>
      </c>
      <c r="G145" s="18">
        <f>IFERROR(VLOOKUP("5-2-540101-2-F",data_code, 2,FALSE),0)</f>
        <v>0</v>
      </c>
      <c r="H145" s="4">
        <f>IFERROR(VLOOKUP("5-2-540101-3-M",data_code, 2,FALSE),0)</f>
        <v>0</v>
      </c>
      <c r="I145" s="18">
        <f>IFERROR(VLOOKUP("5-2-540101-3-F",data_code, 2,FALSE),0)</f>
        <v>0</v>
      </c>
      <c r="J145" s="4">
        <f>IFERROR(VLOOKUP("5-2-540101-4-M",data_code, 2,FALSE),0)</f>
        <v>0</v>
      </c>
      <c r="K145" s="18">
        <f>IFERROR(VLOOKUP("5-2-540101-4-F",data_code, 2,FALSE),0)</f>
        <v>0</v>
      </c>
      <c r="L145" s="4">
        <f>IFERROR(VLOOKUP("5-2-540101-5-M",data_code, 2,FALSE),0)</f>
        <v>0</v>
      </c>
      <c r="M145" s="18">
        <f>IFERROR(VLOOKUP("5-2-540101-5-F",data_code, 2,FALSE),0)</f>
        <v>0</v>
      </c>
      <c r="N145" s="4">
        <f>IFERROR(VLOOKUP("5-2-540101-6-M",data_code, 2,FALSE),0)</f>
        <v>0</v>
      </c>
      <c r="O145" s="50">
        <f>IFERROR(VLOOKUP("5-2-540101-6-F",data_code, 2,FALSE),0)</f>
        <v>0</v>
      </c>
      <c r="P145" s="4">
        <f>IFERROR(VLOOKUP("5-2-540101-7-M",data_code, 2,FALSE),0)</f>
        <v>0</v>
      </c>
      <c r="Q145" s="18">
        <f>IFERROR(VLOOKUP("5-2-540101-7-F",data_code, 2,FALSE),0)</f>
        <v>1</v>
      </c>
      <c r="R145" s="4">
        <f>IFERROR(VLOOKUP("5-2-540101-8-M",data_code, 2,FALSE),0)</f>
        <v>0</v>
      </c>
      <c r="S145" s="18">
        <f>IFERROR(VLOOKUP("5-2-540101-8-F",data_code, 2,FALSE),0)</f>
        <v>0</v>
      </c>
      <c r="T145" s="4">
        <f>IFERROR(VLOOKUP("5-2-540101-9-M",data_code, 2,FALSE),0)</f>
        <v>0</v>
      </c>
      <c r="U145" s="4">
        <f>IFERROR(VLOOKUP("5-2-540101-9-F",data_code, 2,FALSE),0)</f>
        <v>0</v>
      </c>
      <c r="V145" s="19">
        <f>SUMIF($D$2:$U$2,"Men",D145:U145)</f>
        <v>0</v>
      </c>
      <c r="W145" s="50">
        <f>SUMIF($D$2:$U$2,"Women",D145:U145)</f>
        <v>1</v>
      </c>
      <c r="X145" s="69">
        <f>SUM(V145:W145)</f>
        <v>1</v>
      </c>
    </row>
    <row r="146" spans="2:24">
      <c r="B146" s="93" t="s">
        <v>735</v>
      </c>
      <c r="C146" s="94"/>
      <c r="D146" s="61">
        <f t="shared" ref="D146:X146" si="81">SUM(D132:D145)</f>
        <v>0</v>
      </c>
      <c r="E146" s="62">
        <f t="shared" si="81"/>
        <v>0</v>
      </c>
      <c r="F146" s="61">
        <f t="shared" si="81"/>
        <v>1</v>
      </c>
      <c r="G146" s="62">
        <f t="shared" si="81"/>
        <v>1</v>
      </c>
      <c r="H146" s="61">
        <f t="shared" si="81"/>
        <v>0</v>
      </c>
      <c r="I146" s="62">
        <f t="shared" si="81"/>
        <v>0</v>
      </c>
      <c r="J146" s="61">
        <f t="shared" si="81"/>
        <v>2</v>
      </c>
      <c r="K146" s="62">
        <f t="shared" si="81"/>
        <v>0</v>
      </c>
      <c r="L146" s="61">
        <f t="shared" si="81"/>
        <v>0</v>
      </c>
      <c r="M146" s="62">
        <f t="shared" si="81"/>
        <v>1</v>
      </c>
      <c r="N146" s="61">
        <f t="shared" si="81"/>
        <v>0</v>
      </c>
      <c r="O146" s="62">
        <f t="shared" si="81"/>
        <v>0</v>
      </c>
      <c r="P146" s="61">
        <f t="shared" si="81"/>
        <v>5</v>
      </c>
      <c r="Q146" s="62">
        <f t="shared" si="81"/>
        <v>20</v>
      </c>
      <c r="R146" s="61">
        <f t="shared" si="81"/>
        <v>0</v>
      </c>
      <c r="S146" s="62">
        <f t="shared" si="81"/>
        <v>1</v>
      </c>
      <c r="T146" s="61">
        <f t="shared" si="81"/>
        <v>0</v>
      </c>
      <c r="U146" s="62">
        <f t="shared" si="81"/>
        <v>0</v>
      </c>
      <c r="V146" s="71">
        <f t="shared" si="81"/>
        <v>8</v>
      </c>
      <c r="W146" s="70">
        <f t="shared" si="81"/>
        <v>23</v>
      </c>
      <c r="X146" s="63">
        <f t="shared" si="81"/>
        <v>31</v>
      </c>
    </row>
    <row r="147" spans="2:24">
      <c r="B147" s="80" t="s">
        <v>42</v>
      </c>
      <c r="C147" s="81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36"/>
      <c r="X147" s="18"/>
    </row>
    <row r="148" spans="2:24">
      <c r="B148" s="5" t="s">
        <v>472</v>
      </c>
      <c r="C148" s="6" t="s">
        <v>734</v>
      </c>
      <c r="D148" s="34">
        <f>IFERROR(VLOOKUP("7-2-510707-1-M",data_code, 2,FALSE),0)</f>
        <v>0</v>
      </c>
      <c r="E148" s="35">
        <f>IFERROR(VLOOKUP("7-2-510707-1-F",data_code, 2,FALSE),0)</f>
        <v>0</v>
      </c>
      <c r="F148" s="36">
        <f>IFERROR(VLOOKUP("7-2-510707-2-M",data_code, 2,FALSE),0)</f>
        <v>0</v>
      </c>
      <c r="G148" s="35">
        <f>IFERROR(VLOOKUP("7-2-510707-2-F",data_code, 2,FALSE),0)</f>
        <v>0</v>
      </c>
      <c r="H148" s="36">
        <f>IFERROR(VLOOKUP("7-2-510707-3-M",data_code, 2,FALSE),0)</f>
        <v>0</v>
      </c>
      <c r="I148" s="35">
        <f>IFERROR(VLOOKUP("7-2-510707-3-F",data_code, 2,FALSE),0)</f>
        <v>0</v>
      </c>
      <c r="J148" s="36">
        <f>IFERROR(VLOOKUP("7-2-510707-4-M",data_code, 2,FALSE),0)</f>
        <v>0</v>
      </c>
      <c r="K148" s="35">
        <f>IFERROR(VLOOKUP("7-2-510707-4-F",data_code, 2,FALSE),0)</f>
        <v>0</v>
      </c>
      <c r="L148" s="36">
        <f>IFERROR(VLOOKUP("7-2-510707-5-M",data_code, 2,FALSE),0)</f>
        <v>0</v>
      </c>
      <c r="M148" s="35">
        <f>IFERROR(VLOOKUP("7-2-510707-5-F",data_code, 2,FALSE),0)</f>
        <v>0</v>
      </c>
      <c r="N148" s="36">
        <f>IFERROR(VLOOKUP("7-2-510707-6-M",data_code, 2,FALSE),0)</f>
        <v>0</v>
      </c>
      <c r="O148" s="35">
        <f>IFERROR(VLOOKUP("7-2-510707-6-F",data_code, 2,FALSE),0)</f>
        <v>0</v>
      </c>
      <c r="P148" s="36">
        <f>IFERROR(VLOOKUP("7-2-510707-7-M",data_code, 2,FALSE),0)</f>
        <v>0</v>
      </c>
      <c r="Q148" s="35">
        <f>IFERROR(VLOOKUP("7-2-510707-7-F",data_code, 2,FALSE),0)</f>
        <v>1</v>
      </c>
      <c r="R148" s="36">
        <f>IFERROR(VLOOKUP("7-2-510707-8-M",data_code, 2,FALSE),0)</f>
        <v>0</v>
      </c>
      <c r="S148" s="35">
        <f>IFERROR(VLOOKUP("7-2-510707-8-F",data_code, 2,FALSE),0)</f>
        <v>0</v>
      </c>
      <c r="T148" s="36">
        <f>IFERROR(VLOOKUP("7-2-510707-9-M",data_code, 2,FALSE),0)</f>
        <v>0</v>
      </c>
      <c r="U148" s="35">
        <f>IFERROR(VLOOKUP("7-2-510707-9-F",data_code, 2,FALSE),0)</f>
        <v>0</v>
      </c>
      <c r="V148" s="36">
        <f t="shared" ref="V148" si="82">SUMIF($D$2:$U$2,"Men",D148:U148)</f>
        <v>0</v>
      </c>
      <c r="W148" s="35">
        <f t="shared" ref="W148" si="83">SUMIF($D$2:$U$2,"Women",D148:U148)</f>
        <v>1</v>
      </c>
      <c r="X148" s="64">
        <f t="shared" ref="X148" si="84">SUM(V148:W148)</f>
        <v>1</v>
      </c>
    </row>
    <row r="149" spans="2:24">
      <c r="B149" s="95" t="s">
        <v>737</v>
      </c>
      <c r="C149" s="96"/>
      <c r="D149" s="33">
        <f>SUM(D146:D148)</f>
        <v>0</v>
      </c>
      <c r="E149" s="30">
        <f t="shared" ref="E149:X149" si="85">SUM(E146:E148)</f>
        <v>0</v>
      </c>
      <c r="F149" s="33">
        <f t="shared" si="85"/>
        <v>1</v>
      </c>
      <c r="G149" s="30">
        <f t="shared" si="85"/>
        <v>1</v>
      </c>
      <c r="H149" s="33">
        <f t="shared" si="85"/>
        <v>0</v>
      </c>
      <c r="I149" s="30">
        <f t="shared" si="85"/>
        <v>0</v>
      </c>
      <c r="J149" s="33">
        <f t="shared" si="85"/>
        <v>2</v>
      </c>
      <c r="K149" s="30">
        <f t="shared" si="85"/>
        <v>0</v>
      </c>
      <c r="L149" s="33">
        <f t="shared" si="85"/>
        <v>0</v>
      </c>
      <c r="M149" s="30">
        <f t="shared" si="85"/>
        <v>1</v>
      </c>
      <c r="N149" s="33">
        <f t="shared" si="85"/>
        <v>0</v>
      </c>
      <c r="O149" s="30">
        <f t="shared" si="85"/>
        <v>0</v>
      </c>
      <c r="P149" s="33">
        <f t="shared" si="85"/>
        <v>5</v>
      </c>
      <c r="Q149" s="30">
        <f t="shared" si="85"/>
        <v>21</v>
      </c>
      <c r="R149" s="33">
        <f t="shared" si="85"/>
        <v>0</v>
      </c>
      <c r="S149" s="30">
        <f t="shared" si="85"/>
        <v>1</v>
      </c>
      <c r="T149" s="33">
        <f t="shared" si="85"/>
        <v>0</v>
      </c>
      <c r="U149" s="30">
        <f t="shared" si="85"/>
        <v>0</v>
      </c>
      <c r="V149" s="33">
        <f t="shared" si="85"/>
        <v>8</v>
      </c>
      <c r="W149" s="30">
        <f t="shared" si="85"/>
        <v>24</v>
      </c>
      <c r="X149" s="41">
        <f t="shared" si="85"/>
        <v>32</v>
      </c>
    </row>
    <row r="150" spans="2:24">
      <c r="B150" s="43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</sheetData>
  <mergeCells count="28">
    <mergeCell ref="B149:C149"/>
    <mergeCell ref="B130:C130"/>
    <mergeCell ref="B48:C48"/>
    <mergeCell ref="B110:C110"/>
    <mergeCell ref="A49:A59"/>
    <mergeCell ref="A3:A48"/>
    <mergeCell ref="B119:C119"/>
    <mergeCell ref="B116:C116"/>
    <mergeCell ref="B114:C114"/>
    <mergeCell ref="A60:A103"/>
    <mergeCell ref="B147:C147"/>
    <mergeCell ref="A104:A110"/>
    <mergeCell ref="A112:A114"/>
    <mergeCell ref="B103:C103"/>
    <mergeCell ref="B59:C59"/>
    <mergeCell ref="B146:C146"/>
    <mergeCell ref="B131:C131"/>
    <mergeCell ref="T1:U1"/>
    <mergeCell ref="V1:X1"/>
    <mergeCell ref="J1:K1"/>
    <mergeCell ref="L1:M1"/>
    <mergeCell ref="A1:C1"/>
    <mergeCell ref="N1:O1"/>
    <mergeCell ref="P1:Q1"/>
    <mergeCell ref="R1:S1"/>
    <mergeCell ref="H1:I1"/>
    <mergeCell ref="D1:E1"/>
    <mergeCell ref="F1:G1"/>
  </mergeCells>
  <pageMargins left="0.25" right="0.25" top="0.75" bottom="0.75" header="0.3" footer="0.3"/>
  <pageSetup scale="54" fitToHeight="0" orientation="landscape" horizontalDpi="1200" verticalDpi="1200" r:id="rId1"/>
  <headerFooter alignWithMargins="0">
    <oddHeader xml:space="preserve">&amp;C&amp;"Calibri,Bold"&amp;12&amp;KC00000Southern Illinois University Edwardsville
Degrees awarded July 1, 2024 - June 30, 2025
by Level, Major program, Race/Ethnicity, and Gender&amp;"Calibri,Regular"&amp;11&amp;K000000
</oddHeader>
    <oddFooter>&amp;R&amp;"Calibri,Italic"&amp;K01+016Office of Institutional Research and Studies
September 2025</oddFooter>
  </headerFooter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8BEF-5C34-4803-9AAE-5EECD9842120}">
  <dimension ref="A1:P605"/>
  <sheetViews>
    <sheetView workbookViewId="0">
      <pane ySplit="2" topLeftCell="A3" activePane="bottomLeft" state="frozen"/>
      <selection pane="bottomLeft" activeCell="C140" sqref="C140"/>
    </sheetView>
  </sheetViews>
  <sheetFormatPr defaultRowHeight="15"/>
  <cols>
    <col min="1" max="1" width="27.42578125" customWidth="1"/>
    <col min="4" max="4" width="19.28515625" bestFit="1" customWidth="1"/>
    <col min="11" max="11" width="11" bestFit="1" customWidth="1"/>
    <col min="14" max="14" width="16" customWidth="1"/>
    <col min="15" max="15" width="27.7109375" customWidth="1"/>
  </cols>
  <sheetData>
    <row r="1" spans="1:15">
      <c r="A1" s="99" t="s">
        <v>728</v>
      </c>
      <c r="B1" s="99"/>
      <c r="E1" s="99" t="s">
        <v>729</v>
      </c>
      <c r="F1" s="99"/>
      <c r="G1" s="99"/>
      <c r="H1" s="99"/>
      <c r="I1" s="99"/>
      <c r="J1" s="99"/>
      <c r="K1" s="99"/>
    </row>
    <row r="2" spans="1:15" ht="43.5" customHeight="1">
      <c r="A2" s="1" t="s">
        <v>362</v>
      </c>
      <c r="B2" s="1" t="s">
        <v>363</v>
      </c>
      <c r="E2" s="11" t="s">
        <v>721</v>
      </c>
      <c r="F2" s="52" t="s">
        <v>751</v>
      </c>
      <c r="G2" s="52" t="s">
        <v>723</v>
      </c>
      <c r="H2" s="1" t="s">
        <v>724</v>
      </c>
      <c r="I2" t="s">
        <v>722</v>
      </c>
      <c r="J2" s="52" t="s">
        <v>723</v>
      </c>
      <c r="K2" s="52" t="s">
        <v>725</v>
      </c>
      <c r="L2" s="67"/>
      <c r="M2" s="67"/>
      <c r="N2" s="68"/>
      <c r="O2" s="67"/>
    </row>
    <row r="3" spans="1:15">
      <c r="A3" t="s">
        <v>219</v>
      </c>
      <c r="B3" s="66">
        <v>3</v>
      </c>
      <c r="E3" s="52" t="s">
        <v>51</v>
      </c>
      <c r="F3" s="52" t="s">
        <v>412</v>
      </c>
      <c r="G3" s="52" t="s">
        <v>534</v>
      </c>
      <c r="H3" s="52" t="s">
        <v>51</v>
      </c>
      <c r="I3" s="52" t="s">
        <v>412</v>
      </c>
      <c r="J3" s="52" t="s">
        <v>534</v>
      </c>
      <c r="K3" s="52"/>
    </row>
    <row r="4" spans="1:15">
      <c r="A4" t="s">
        <v>278</v>
      </c>
      <c r="B4" s="66">
        <v>3</v>
      </c>
      <c r="E4" s="52" t="s">
        <v>51</v>
      </c>
      <c r="F4" s="52" t="s">
        <v>429</v>
      </c>
      <c r="G4" s="52" t="s">
        <v>535</v>
      </c>
      <c r="H4" s="52" t="s">
        <v>51</v>
      </c>
      <c r="I4" s="52" t="s">
        <v>429</v>
      </c>
      <c r="J4" s="52" t="s">
        <v>535</v>
      </c>
      <c r="K4" s="52"/>
    </row>
    <row r="5" spans="1:15">
      <c r="A5" t="s">
        <v>234</v>
      </c>
      <c r="B5" s="66">
        <v>2</v>
      </c>
      <c r="E5" s="52" t="s">
        <v>51</v>
      </c>
      <c r="F5" s="52" t="s">
        <v>413</v>
      </c>
      <c r="G5" s="52" t="s">
        <v>536</v>
      </c>
      <c r="H5" s="52" t="s">
        <v>51</v>
      </c>
      <c r="I5" s="52" t="s">
        <v>413</v>
      </c>
      <c r="J5" s="52" t="s">
        <v>536</v>
      </c>
      <c r="K5" s="52"/>
    </row>
    <row r="6" spans="1:15">
      <c r="A6" t="s">
        <v>762</v>
      </c>
      <c r="B6" s="66">
        <v>1</v>
      </c>
      <c r="E6" s="52" t="s">
        <v>51</v>
      </c>
      <c r="F6" s="52" t="s">
        <v>430</v>
      </c>
      <c r="G6" s="52" t="s">
        <v>537</v>
      </c>
      <c r="H6" s="52" t="s">
        <v>51</v>
      </c>
      <c r="I6" s="52" t="s">
        <v>430</v>
      </c>
      <c r="J6" s="52" t="s">
        <v>537</v>
      </c>
      <c r="K6" s="52"/>
    </row>
    <row r="7" spans="1:15">
      <c r="A7" t="s">
        <v>620</v>
      </c>
      <c r="B7" s="66">
        <v>1</v>
      </c>
      <c r="E7" s="52" t="s">
        <v>51</v>
      </c>
      <c r="F7" s="52" t="s">
        <v>431</v>
      </c>
      <c r="G7" s="52" t="s">
        <v>538</v>
      </c>
      <c r="H7" s="52" t="s">
        <v>51</v>
      </c>
      <c r="I7" s="52" t="s">
        <v>431</v>
      </c>
      <c r="J7" s="52" t="s">
        <v>538</v>
      </c>
      <c r="K7" s="52"/>
    </row>
    <row r="8" spans="1:15">
      <c r="A8" t="s">
        <v>763</v>
      </c>
      <c r="B8" s="66">
        <v>1</v>
      </c>
      <c r="E8" s="52" t="s">
        <v>51</v>
      </c>
      <c r="F8" s="52" t="s">
        <v>432</v>
      </c>
      <c r="G8" s="52" t="s">
        <v>539</v>
      </c>
      <c r="H8" s="52" t="s">
        <v>51</v>
      </c>
      <c r="I8" s="52" t="s">
        <v>432</v>
      </c>
      <c r="J8" s="52" t="s">
        <v>539</v>
      </c>
      <c r="K8" s="52"/>
    </row>
    <row r="9" spans="1:15">
      <c r="A9" t="s">
        <v>312</v>
      </c>
      <c r="B9" s="66">
        <v>4</v>
      </c>
      <c r="E9" s="52" t="s">
        <v>51</v>
      </c>
      <c r="F9" s="52" t="s">
        <v>433</v>
      </c>
      <c r="G9" s="52" t="s">
        <v>540</v>
      </c>
      <c r="H9" s="52" t="s">
        <v>51</v>
      </c>
      <c r="I9" s="52" t="s">
        <v>433</v>
      </c>
      <c r="J9" s="52" t="s">
        <v>540</v>
      </c>
      <c r="K9" s="52"/>
    </row>
    <row r="10" spans="1:15">
      <c r="A10" t="s">
        <v>621</v>
      </c>
      <c r="B10" s="66">
        <v>1</v>
      </c>
      <c r="E10" s="52" t="s">
        <v>51</v>
      </c>
      <c r="F10" s="52" t="s">
        <v>414</v>
      </c>
      <c r="G10" s="52" t="s">
        <v>541</v>
      </c>
      <c r="H10" s="52" t="s">
        <v>51</v>
      </c>
      <c r="I10" s="52" t="s">
        <v>414</v>
      </c>
      <c r="J10" s="52" t="s">
        <v>541</v>
      </c>
      <c r="K10" s="52"/>
    </row>
    <row r="11" spans="1:15">
      <c r="A11" t="s">
        <v>486</v>
      </c>
      <c r="B11" s="66">
        <v>1</v>
      </c>
      <c r="E11" s="52" t="s">
        <v>51</v>
      </c>
      <c r="F11" s="52" t="s">
        <v>434</v>
      </c>
      <c r="G11" s="52" t="s">
        <v>542</v>
      </c>
      <c r="H11" s="52" t="s">
        <v>51</v>
      </c>
      <c r="I11" s="52" t="s">
        <v>434</v>
      </c>
      <c r="J11" s="52" t="s">
        <v>542</v>
      </c>
      <c r="K11" s="52"/>
    </row>
    <row r="12" spans="1:15">
      <c r="A12" t="s">
        <v>180</v>
      </c>
      <c r="B12" s="66">
        <v>22</v>
      </c>
      <c r="E12" s="52" t="s">
        <v>51</v>
      </c>
      <c r="F12" s="52" t="s">
        <v>435</v>
      </c>
      <c r="G12" s="52" t="s">
        <v>543</v>
      </c>
      <c r="H12" s="52" t="s">
        <v>51</v>
      </c>
      <c r="I12" s="52" t="s">
        <v>435</v>
      </c>
      <c r="J12" s="52" t="s">
        <v>543</v>
      </c>
      <c r="K12" s="52"/>
    </row>
    <row r="13" spans="1:15">
      <c r="A13" t="s">
        <v>264</v>
      </c>
      <c r="B13" s="66">
        <v>17</v>
      </c>
      <c r="E13" s="52" t="s">
        <v>51</v>
      </c>
      <c r="F13" s="52" t="s">
        <v>436</v>
      </c>
      <c r="G13" s="52" t="s">
        <v>544</v>
      </c>
      <c r="H13" s="52" t="s">
        <v>51</v>
      </c>
      <c r="I13" s="52" t="s">
        <v>436</v>
      </c>
      <c r="J13" s="52" t="s">
        <v>544</v>
      </c>
      <c r="K13" s="52"/>
    </row>
    <row r="14" spans="1:15">
      <c r="A14" t="s">
        <v>764</v>
      </c>
      <c r="B14" s="66">
        <v>3</v>
      </c>
      <c r="E14" s="52" t="s">
        <v>51</v>
      </c>
      <c r="F14" s="52" t="s">
        <v>437</v>
      </c>
      <c r="G14" s="52" t="s">
        <v>545</v>
      </c>
      <c r="H14" s="52" t="s">
        <v>51</v>
      </c>
      <c r="I14" s="52" t="s">
        <v>437</v>
      </c>
      <c r="J14" s="52" t="s">
        <v>545</v>
      </c>
      <c r="K14" s="52"/>
    </row>
    <row r="15" spans="1:15">
      <c r="A15" t="s">
        <v>622</v>
      </c>
      <c r="B15" s="66">
        <v>1</v>
      </c>
      <c r="E15" s="52" t="s">
        <v>51</v>
      </c>
      <c r="F15" s="52" t="s">
        <v>438</v>
      </c>
      <c r="G15" s="52" t="s">
        <v>546</v>
      </c>
      <c r="H15" s="52" t="s">
        <v>51</v>
      </c>
      <c r="I15" s="52" t="s">
        <v>438</v>
      </c>
      <c r="J15" s="52" t="s">
        <v>546</v>
      </c>
      <c r="K15" s="52"/>
    </row>
    <row r="16" spans="1:15">
      <c r="A16" t="s">
        <v>765</v>
      </c>
      <c r="B16" s="66">
        <v>1</v>
      </c>
      <c r="E16" s="52" t="s">
        <v>51</v>
      </c>
      <c r="F16" s="52" t="s">
        <v>439</v>
      </c>
      <c r="G16" s="52" t="s">
        <v>547</v>
      </c>
      <c r="H16" s="52" t="s">
        <v>51</v>
      </c>
      <c r="I16" s="52" t="s">
        <v>439</v>
      </c>
      <c r="J16" s="52" t="s">
        <v>547</v>
      </c>
      <c r="K16" s="52"/>
    </row>
    <row r="17" spans="1:11">
      <c r="A17" t="s">
        <v>623</v>
      </c>
      <c r="B17" s="66">
        <v>2</v>
      </c>
      <c r="E17" s="52" t="s">
        <v>51</v>
      </c>
      <c r="F17" s="52" t="s">
        <v>440</v>
      </c>
      <c r="G17" s="52" t="s">
        <v>548</v>
      </c>
      <c r="H17" s="52" t="s">
        <v>51</v>
      </c>
      <c r="I17" s="52" t="s">
        <v>440</v>
      </c>
      <c r="J17" s="52" t="s">
        <v>548</v>
      </c>
      <c r="K17" s="52"/>
    </row>
    <row r="18" spans="1:11">
      <c r="A18" t="s">
        <v>766</v>
      </c>
      <c r="B18" s="66">
        <v>1</v>
      </c>
      <c r="E18" s="52" t="s">
        <v>51</v>
      </c>
      <c r="F18" s="52" t="s">
        <v>371</v>
      </c>
      <c r="G18" s="52" t="s">
        <v>549</v>
      </c>
      <c r="H18" s="52" t="s">
        <v>51</v>
      </c>
      <c r="I18" s="52" t="s">
        <v>371</v>
      </c>
      <c r="J18" s="52" t="s">
        <v>549</v>
      </c>
      <c r="K18" s="52"/>
    </row>
    <row r="19" spans="1:11">
      <c r="A19" t="s">
        <v>624</v>
      </c>
      <c r="B19" s="66">
        <v>2</v>
      </c>
      <c r="E19" s="52" t="s">
        <v>51</v>
      </c>
      <c r="F19" s="52" t="s">
        <v>441</v>
      </c>
      <c r="G19" s="52" t="s">
        <v>550</v>
      </c>
      <c r="H19" s="52" t="s">
        <v>51</v>
      </c>
      <c r="I19" s="52" t="s">
        <v>441</v>
      </c>
      <c r="J19" s="52" t="s">
        <v>550</v>
      </c>
      <c r="K19" s="52"/>
    </row>
    <row r="20" spans="1:11">
      <c r="A20" t="s">
        <v>337</v>
      </c>
      <c r="B20" s="66">
        <v>39</v>
      </c>
      <c r="E20" s="52" t="s">
        <v>51</v>
      </c>
      <c r="F20" s="52" t="s">
        <v>372</v>
      </c>
      <c r="G20" s="52" t="s">
        <v>551</v>
      </c>
      <c r="H20" s="52" t="s">
        <v>51</v>
      </c>
      <c r="I20" s="52" t="s">
        <v>372</v>
      </c>
      <c r="J20" s="52" t="s">
        <v>551</v>
      </c>
      <c r="K20" s="52"/>
    </row>
    <row r="21" spans="1:11">
      <c r="A21" t="s">
        <v>317</v>
      </c>
      <c r="B21" s="66">
        <v>19</v>
      </c>
      <c r="E21" s="52" t="s">
        <v>51</v>
      </c>
      <c r="F21" s="52" t="s">
        <v>442</v>
      </c>
      <c r="G21" s="52" t="s">
        <v>552</v>
      </c>
      <c r="H21" s="52" t="s">
        <v>51</v>
      </c>
      <c r="I21" s="52" t="s">
        <v>442</v>
      </c>
      <c r="J21" s="52" t="s">
        <v>552</v>
      </c>
      <c r="K21" s="52"/>
    </row>
    <row r="22" spans="1:11">
      <c r="A22" t="s">
        <v>231</v>
      </c>
      <c r="B22" s="66">
        <v>2</v>
      </c>
      <c r="E22" s="52" t="s">
        <v>51</v>
      </c>
      <c r="F22" s="52" t="s">
        <v>443</v>
      </c>
      <c r="G22" s="52" t="s">
        <v>553</v>
      </c>
      <c r="H22" s="52" t="s">
        <v>51</v>
      </c>
      <c r="I22" s="52" t="s">
        <v>443</v>
      </c>
      <c r="J22" s="52" t="s">
        <v>553</v>
      </c>
      <c r="K22" s="52"/>
    </row>
    <row r="23" spans="1:11">
      <c r="A23" t="s">
        <v>381</v>
      </c>
      <c r="B23" s="66">
        <v>1</v>
      </c>
      <c r="E23" s="52" t="s">
        <v>51</v>
      </c>
      <c r="F23" s="52" t="s">
        <v>444</v>
      </c>
      <c r="G23" s="52" t="s">
        <v>554</v>
      </c>
      <c r="H23" s="52" t="s">
        <v>51</v>
      </c>
      <c r="I23" s="52" t="s">
        <v>444</v>
      </c>
      <c r="J23" s="52" t="s">
        <v>554</v>
      </c>
      <c r="K23" s="52"/>
    </row>
    <row r="24" spans="1:11">
      <c r="A24" t="s">
        <v>203</v>
      </c>
      <c r="B24" s="66">
        <v>3</v>
      </c>
      <c r="E24" s="52" t="s">
        <v>51</v>
      </c>
      <c r="F24" s="52" t="s">
        <v>532</v>
      </c>
      <c r="G24" s="52" t="s">
        <v>555</v>
      </c>
      <c r="H24" s="52" t="s">
        <v>51</v>
      </c>
      <c r="I24" s="52" t="s">
        <v>532</v>
      </c>
      <c r="J24" s="52" t="s">
        <v>555</v>
      </c>
      <c r="K24" s="52"/>
    </row>
    <row r="25" spans="1:11">
      <c r="A25" t="s">
        <v>267</v>
      </c>
      <c r="B25" s="66">
        <v>8</v>
      </c>
      <c r="E25" s="52" t="s">
        <v>51</v>
      </c>
      <c r="F25" s="52" t="s">
        <v>445</v>
      </c>
      <c r="G25" s="52" t="s">
        <v>556</v>
      </c>
      <c r="H25" s="52" t="s">
        <v>51</v>
      </c>
      <c r="I25" s="52" t="s">
        <v>445</v>
      </c>
      <c r="J25" s="52" t="s">
        <v>556</v>
      </c>
      <c r="K25" s="52"/>
    </row>
    <row r="26" spans="1:11">
      <c r="A26" t="s">
        <v>767</v>
      </c>
      <c r="B26" s="66">
        <v>3</v>
      </c>
      <c r="E26" s="52" t="s">
        <v>51</v>
      </c>
      <c r="F26" s="52" t="s">
        <v>446</v>
      </c>
      <c r="G26" s="52" t="s">
        <v>557</v>
      </c>
      <c r="H26" s="52" t="s">
        <v>51</v>
      </c>
      <c r="I26" s="52" t="s">
        <v>446</v>
      </c>
      <c r="J26" s="52" t="s">
        <v>557</v>
      </c>
      <c r="K26" s="52"/>
    </row>
    <row r="27" spans="1:11">
      <c r="A27" t="s">
        <v>185</v>
      </c>
      <c r="B27" s="66">
        <v>26</v>
      </c>
      <c r="E27" s="52" t="s">
        <v>51</v>
      </c>
      <c r="F27" s="52" t="s">
        <v>447</v>
      </c>
      <c r="G27" s="52" t="s">
        <v>558</v>
      </c>
      <c r="H27" s="52" t="s">
        <v>51</v>
      </c>
      <c r="I27" s="52" t="s">
        <v>447</v>
      </c>
      <c r="J27" s="52" t="s">
        <v>558</v>
      </c>
      <c r="K27" s="52"/>
    </row>
    <row r="28" spans="1:11">
      <c r="A28" t="s">
        <v>160</v>
      </c>
      <c r="B28" s="66">
        <v>6</v>
      </c>
      <c r="E28" s="52" t="s">
        <v>51</v>
      </c>
      <c r="F28" s="52" t="s">
        <v>448</v>
      </c>
      <c r="G28" s="52" t="s">
        <v>559</v>
      </c>
      <c r="H28" s="52" t="s">
        <v>51</v>
      </c>
      <c r="I28" s="52" t="s">
        <v>448</v>
      </c>
      <c r="J28" s="52" t="s">
        <v>559</v>
      </c>
      <c r="K28" s="52"/>
    </row>
    <row r="29" spans="1:11">
      <c r="A29" t="s">
        <v>358</v>
      </c>
      <c r="B29" s="66">
        <v>2</v>
      </c>
      <c r="E29" s="52" t="s">
        <v>51</v>
      </c>
      <c r="F29" s="52" t="s">
        <v>373</v>
      </c>
      <c r="G29" s="52" t="s">
        <v>560</v>
      </c>
      <c r="H29" s="52" t="s">
        <v>51</v>
      </c>
      <c r="I29" s="52" t="s">
        <v>373</v>
      </c>
      <c r="J29" s="52" t="s">
        <v>560</v>
      </c>
      <c r="K29" s="52"/>
    </row>
    <row r="30" spans="1:11">
      <c r="A30" t="s">
        <v>359</v>
      </c>
      <c r="B30" s="66">
        <v>12</v>
      </c>
      <c r="E30" s="52" t="s">
        <v>51</v>
      </c>
      <c r="F30" s="52" t="s">
        <v>374</v>
      </c>
      <c r="G30" s="52" t="s">
        <v>561</v>
      </c>
      <c r="H30" s="52" t="s">
        <v>51</v>
      </c>
      <c r="I30" s="52" t="s">
        <v>374</v>
      </c>
      <c r="J30" s="52" t="s">
        <v>561</v>
      </c>
      <c r="K30" s="52"/>
    </row>
    <row r="31" spans="1:11">
      <c r="A31" t="s">
        <v>625</v>
      </c>
      <c r="B31" s="66">
        <v>7</v>
      </c>
      <c r="E31" s="52" t="s">
        <v>51</v>
      </c>
      <c r="F31" s="52" t="s">
        <v>449</v>
      </c>
      <c r="G31" s="52" t="s">
        <v>562</v>
      </c>
      <c r="H31" s="52" t="s">
        <v>51</v>
      </c>
      <c r="I31" s="52" t="s">
        <v>449</v>
      </c>
      <c r="J31" s="52" t="s">
        <v>562</v>
      </c>
      <c r="K31" s="52"/>
    </row>
    <row r="32" spans="1:11">
      <c r="A32" t="s">
        <v>768</v>
      </c>
      <c r="B32" s="66">
        <v>2</v>
      </c>
      <c r="E32" s="52" t="s">
        <v>51</v>
      </c>
      <c r="F32" s="52" t="s">
        <v>415</v>
      </c>
      <c r="G32" s="52" t="s">
        <v>563</v>
      </c>
      <c r="H32" s="52" t="s">
        <v>51</v>
      </c>
      <c r="I32" s="52" t="s">
        <v>415</v>
      </c>
      <c r="J32" s="52" t="s">
        <v>563</v>
      </c>
      <c r="K32" s="52"/>
    </row>
    <row r="33" spans="1:11">
      <c r="A33" t="s">
        <v>154</v>
      </c>
      <c r="B33" s="66">
        <v>4</v>
      </c>
      <c r="E33" s="52" t="s">
        <v>51</v>
      </c>
      <c r="F33" s="52" t="s">
        <v>450</v>
      </c>
      <c r="G33" s="52" t="s">
        <v>564</v>
      </c>
      <c r="H33" s="52" t="s">
        <v>51</v>
      </c>
      <c r="I33" s="52" t="s">
        <v>450</v>
      </c>
      <c r="J33" s="52" t="s">
        <v>564</v>
      </c>
      <c r="K33" s="52"/>
    </row>
    <row r="34" spans="1:11">
      <c r="A34" t="s">
        <v>309</v>
      </c>
      <c r="B34" s="66">
        <v>3</v>
      </c>
      <c r="E34" s="52" t="s">
        <v>51</v>
      </c>
      <c r="F34" s="52" t="s">
        <v>375</v>
      </c>
      <c r="G34" s="52" t="s">
        <v>565</v>
      </c>
      <c r="H34" s="52" t="s">
        <v>51</v>
      </c>
      <c r="I34" s="52" t="s">
        <v>375</v>
      </c>
      <c r="J34" s="52" t="s">
        <v>565</v>
      </c>
      <c r="K34" s="11"/>
    </row>
    <row r="35" spans="1:11">
      <c r="A35" t="s">
        <v>769</v>
      </c>
      <c r="B35" s="66">
        <v>1</v>
      </c>
      <c r="E35" s="52" t="s">
        <v>51</v>
      </c>
      <c r="F35" s="52" t="s">
        <v>376</v>
      </c>
      <c r="G35" s="52" t="s">
        <v>566</v>
      </c>
      <c r="H35" s="52" t="s">
        <v>51</v>
      </c>
      <c r="I35" s="52" t="s">
        <v>376</v>
      </c>
      <c r="J35" s="52" t="s">
        <v>566</v>
      </c>
      <c r="K35" s="52"/>
    </row>
    <row r="36" spans="1:11">
      <c r="A36" t="s">
        <v>626</v>
      </c>
      <c r="B36" s="66">
        <v>1</v>
      </c>
      <c r="E36" s="52" t="s">
        <v>51</v>
      </c>
      <c r="F36" s="52" t="s">
        <v>451</v>
      </c>
      <c r="G36" s="52" t="s">
        <v>567</v>
      </c>
      <c r="H36" s="52" t="s">
        <v>51</v>
      </c>
      <c r="I36" s="52" t="s">
        <v>451</v>
      </c>
      <c r="J36" s="52" t="s">
        <v>567</v>
      </c>
      <c r="K36" s="52"/>
    </row>
    <row r="37" spans="1:11">
      <c r="A37" t="s">
        <v>250</v>
      </c>
      <c r="B37" s="66">
        <v>1</v>
      </c>
      <c r="E37" s="52" t="s">
        <v>51</v>
      </c>
      <c r="F37" s="52" t="s">
        <v>452</v>
      </c>
      <c r="G37" s="52" t="s">
        <v>568</v>
      </c>
      <c r="H37" s="52" t="s">
        <v>51</v>
      </c>
      <c r="I37" s="52" t="s">
        <v>452</v>
      </c>
      <c r="J37" s="52" t="s">
        <v>568</v>
      </c>
      <c r="K37" s="52"/>
    </row>
    <row r="38" spans="1:11">
      <c r="A38" t="s">
        <v>266</v>
      </c>
      <c r="B38" s="66">
        <v>4</v>
      </c>
      <c r="E38" s="52" t="s">
        <v>51</v>
      </c>
      <c r="F38" s="52" t="s">
        <v>453</v>
      </c>
      <c r="G38" s="52" t="s">
        <v>569</v>
      </c>
      <c r="H38" s="52" t="s">
        <v>51</v>
      </c>
      <c r="I38" s="52" t="s">
        <v>453</v>
      </c>
      <c r="J38" s="52" t="s">
        <v>569</v>
      </c>
      <c r="K38" s="52"/>
    </row>
    <row r="39" spans="1:11">
      <c r="A39" t="s">
        <v>770</v>
      </c>
      <c r="B39" s="66">
        <v>2</v>
      </c>
      <c r="E39" s="52" t="s">
        <v>51</v>
      </c>
      <c r="F39" s="52" t="s">
        <v>454</v>
      </c>
      <c r="G39" s="52" t="s">
        <v>570</v>
      </c>
      <c r="H39" s="52" t="s">
        <v>51</v>
      </c>
      <c r="I39" s="52" t="s">
        <v>454</v>
      </c>
      <c r="J39" s="52" t="s">
        <v>570</v>
      </c>
      <c r="K39" s="52"/>
    </row>
    <row r="40" spans="1:11">
      <c r="A40" t="s">
        <v>300</v>
      </c>
      <c r="B40" s="66">
        <v>14</v>
      </c>
      <c r="E40" s="52" t="s">
        <v>51</v>
      </c>
      <c r="F40" s="52" t="s">
        <v>455</v>
      </c>
      <c r="G40" s="52" t="s">
        <v>571</v>
      </c>
      <c r="H40" s="52" t="s">
        <v>51</v>
      </c>
      <c r="I40" s="52" t="s">
        <v>455</v>
      </c>
      <c r="J40" s="52" t="s">
        <v>571</v>
      </c>
      <c r="K40" s="52"/>
    </row>
    <row r="41" spans="1:11">
      <c r="A41" t="s">
        <v>165</v>
      </c>
      <c r="B41" s="66">
        <v>6</v>
      </c>
      <c r="E41" s="52" t="s">
        <v>51</v>
      </c>
      <c r="F41" s="52" t="s">
        <v>456</v>
      </c>
      <c r="G41" s="52" t="s">
        <v>572</v>
      </c>
      <c r="H41" s="52" t="s">
        <v>51</v>
      </c>
      <c r="I41" s="52" t="s">
        <v>456</v>
      </c>
      <c r="J41" s="52" t="s">
        <v>572</v>
      </c>
      <c r="K41" s="52"/>
    </row>
    <row r="42" spans="1:11">
      <c r="A42" t="s">
        <v>494</v>
      </c>
      <c r="B42" s="66">
        <v>2</v>
      </c>
      <c r="E42" s="52" t="s">
        <v>51</v>
      </c>
      <c r="F42" s="52" t="s">
        <v>457</v>
      </c>
      <c r="G42" s="52" t="s">
        <v>573</v>
      </c>
      <c r="H42" s="52" t="s">
        <v>51</v>
      </c>
      <c r="I42" s="52" t="s">
        <v>457</v>
      </c>
      <c r="J42" s="52" t="s">
        <v>573</v>
      </c>
      <c r="K42" s="52"/>
    </row>
    <row r="43" spans="1:11">
      <c r="A43" t="s">
        <v>771</v>
      </c>
      <c r="B43" s="66">
        <v>3</v>
      </c>
      <c r="E43" s="52" t="s">
        <v>51</v>
      </c>
      <c r="F43" s="52" t="s">
        <v>458</v>
      </c>
      <c r="G43" s="52" t="s">
        <v>574</v>
      </c>
      <c r="H43" s="52" t="s">
        <v>51</v>
      </c>
      <c r="I43" s="52" t="s">
        <v>458</v>
      </c>
      <c r="J43" s="52" t="s">
        <v>574</v>
      </c>
      <c r="K43" s="52"/>
    </row>
    <row r="44" spans="1:11">
      <c r="A44" t="s">
        <v>772</v>
      </c>
      <c r="B44" s="66">
        <v>1</v>
      </c>
      <c r="E44" s="52" t="s">
        <v>51</v>
      </c>
      <c r="F44" s="52" t="s">
        <v>458</v>
      </c>
      <c r="G44" s="52" t="s">
        <v>575</v>
      </c>
      <c r="H44" s="52" t="s">
        <v>51</v>
      </c>
      <c r="I44" s="52" t="s">
        <v>458</v>
      </c>
      <c r="J44" s="52" t="s">
        <v>575</v>
      </c>
      <c r="K44" s="52"/>
    </row>
    <row r="45" spans="1:11">
      <c r="A45" t="s">
        <v>773</v>
      </c>
      <c r="B45" s="66">
        <v>1</v>
      </c>
      <c r="E45" s="52" t="s">
        <v>51</v>
      </c>
      <c r="F45" s="52" t="s">
        <v>459</v>
      </c>
      <c r="G45" s="52" t="s">
        <v>576</v>
      </c>
      <c r="H45" s="52" t="s">
        <v>51</v>
      </c>
      <c r="I45" s="52" t="s">
        <v>459</v>
      </c>
      <c r="J45" s="52" t="s">
        <v>576</v>
      </c>
      <c r="K45" s="52"/>
    </row>
    <row r="46" spans="1:11">
      <c r="A46" t="s">
        <v>627</v>
      </c>
      <c r="B46" s="66">
        <v>2</v>
      </c>
      <c r="E46" s="52" t="s">
        <v>51</v>
      </c>
      <c r="F46" s="52" t="s">
        <v>460</v>
      </c>
      <c r="G46" s="52" t="s">
        <v>577</v>
      </c>
      <c r="H46" s="52" t="s">
        <v>51</v>
      </c>
      <c r="I46" s="52" t="s">
        <v>460</v>
      </c>
      <c r="J46" s="52" t="s">
        <v>577</v>
      </c>
      <c r="K46" s="52"/>
    </row>
    <row r="47" spans="1:11">
      <c r="A47" t="s">
        <v>280</v>
      </c>
      <c r="B47" s="66">
        <v>2</v>
      </c>
      <c r="E47" s="52" t="s">
        <v>51</v>
      </c>
      <c r="F47" s="52" t="s">
        <v>461</v>
      </c>
      <c r="G47" s="52" t="s">
        <v>578</v>
      </c>
      <c r="H47" s="52" t="s">
        <v>51</v>
      </c>
      <c r="I47" s="52" t="s">
        <v>461</v>
      </c>
      <c r="J47" s="52" t="s">
        <v>578</v>
      </c>
      <c r="K47" s="52"/>
    </row>
    <row r="48" spans="1:11">
      <c r="A48" t="s">
        <v>265</v>
      </c>
      <c r="B48" s="66">
        <v>5</v>
      </c>
      <c r="E48" s="52" t="s">
        <v>51</v>
      </c>
      <c r="F48" s="52" t="s">
        <v>417</v>
      </c>
      <c r="G48" s="52" t="s">
        <v>579</v>
      </c>
      <c r="H48" s="52" t="s">
        <v>51</v>
      </c>
      <c r="I48" s="52" t="s">
        <v>417</v>
      </c>
      <c r="J48" s="52" t="s">
        <v>579</v>
      </c>
      <c r="K48" s="11"/>
    </row>
    <row r="49" spans="1:16">
      <c r="A49" t="s">
        <v>351</v>
      </c>
      <c r="B49" s="66">
        <v>20</v>
      </c>
      <c r="E49" s="52"/>
      <c r="F49" s="52"/>
      <c r="G49" s="52"/>
      <c r="H49" s="101" t="s">
        <v>52</v>
      </c>
      <c r="I49" s="101" t="s">
        <v>467</v>
      </c>
      <c r="J49" s="101" t="s">
        <v>580</v>
      </c>
      <c r="K49" s="52"/>
    </row>
    <row r="50" spans="1:16">
      <c r="A50" t="s">
        <v>295</v>
      </c>
      <c r="B50" s="66">
        <v>21</v>
      </c>
      <c r="E50" s="65" t="s">
        <v>52</v>
      </c>
      <c r="F50" s="65" t="s">
        <v>413</v>
      </c>
      <c r="G50" s="65" t="s">
        <v>738</v>
      </c>
      <c r="H50" s="52"/>
      <c r="I50" s="52"/>
      <c r="J50" s="52"/>
      <c r="K50" s="11"/>
    </row>
    <row r="51" spans="1:16">
      <c r="A51" t="s">
        <v>774</v>
      </c>
      <c r="B51" s="66">
        <v>2</v>
      </c>
      <c r="E51" s="65" t="s">
        <v>52</v>
      </c>
      <c r="F51" s="65" t="s">
        <v>462</v>
      </c>
      <c r="G51" s="65" t="s">
        <v>739</v>
      </c>
      <c r="H51" s="52"/>
      <c r="I51" s="52"/>
      <c r="J51" s="52"/>
      <c r="K51" s="52"/>
    </row>
    <row r="52" spans="1:16">
      <c r="A52" t="s">
        <v>299</v>
      </c>
      <c r="B52" s="66">
        <v>1</v>
      </c>
      <c r="E52" s="65" t="s">
        <v>52</v>
      </c>
      <c r="F52" s="65" t="s">
        <v>462</v>
      </c>
      <c r="G52" s="65" t="s">
        <v>740</v>
      </c>
      <c r="H52" s="52"/>
      <c r="I52" s="52"/>
      <c r="J52" s="52"/>
      <c r="K52" s="52"/>
    </row>
    <row r="53" spans="1:16">
      <c r="A53" t="s">
        <v>775</v>
      </c>
      <c r="B53" s="66">
        <v>1</v>
      </c>
      <c r="E53" s="65" t="s">
        <v>52</v>
      </c>
      <c r="F53" s="65" t="s">
        <v>462</v>
      </c>
      <c r="G53" s="65" t="s">
        <v>617</v>
      </c>
      <c r="H53" s="52"/>
      <c r="I53" s="52"/>
      <c r="J53" s="52"/>
      <c r="K53" s="52"/>
    </row>
    <row r="54" spans="1:16">
      <c r="A54" t="s">
        <v>776</v>
      </c>
      <c r="B54" s="66">
        <v>1</v>
      </c>
      <c r="E54" s="65" t="s">
        <v>52</v>
      </c>
      <c r="F54" s="65" t="s">
        <v>462</v>
      </c>
      <c r="G54" s="65" t="s">
        <v>618</v>
      </c>
      <c r="H54" s="52"/>
      <c r="I54" s="52"/>
      <c r="J54" s="52"/>
      <c r="K54" s="52" t="s">
        <v>983</v>
      </c>
      <c r="P54" s="66"/>
    </row>
    <row r="55" spans="1:16">
      <c r="A55" t="s">
        <v>777</v>
      </c>
      <c r="B55" s="66">
        <v>1</v>
      </c>
      <c r="E55" s="65" t="s">
        <v>52</v>
      </c>
      <c r="F55" s="65" t="s">
        <v>371</v>
      </c>
      <c r="G55" s="65" t="s">
        <v>741</v>
      </c>
      <c r="H55" s="52"/>
      <c r="I55" s="52"/>
      <c r="J55" s="52"/>
      <c r="K55" s="52"/>
      <c r="P55" s="66"/>
    </row>
    <row r="56" spans="1:16">
      <c r="A56" t="s">
        <v>778</v>
      </c>
      <c r="B56" s="66">
        <v>1</v>
      </c>
      <c r="E56" s="52" t="s">
        <v>52</v>
      </c>
      <c r="F56" s="52" t="s">
        <v>463</v>
      </c>
      <c r="G56" s="52" t="s">
        <v>581</v>
      </c>
      <c r="H56" s="52" t="s">
        <v>52</v>
      </c>
      <c r="I56" s="52" t="s">
        <v>463</v>
      </c>
      <c r="J56" s="52" t="s">
        <v>581</v>
      </c>
      <c r="K56" s="52"/>
      <c r="P56" s="66"/>
    </row>
    <row r="57" spans="1:16">
      <c r="A57" t="s">
        <v>223</v>
      </c>
      <c r="B57" s="66">
        <v>4</v>
      </c>
      <c r="E57" s="65" t="s">
        <v>52</v>
      </c>
      <c r="F57" s="65" t="s">
        <v>742</v>
      </c>
      <c r="G57" s="65" t="s">
        <v>743</v>
      </c>
      <c r="H57" s="52"/>
      <c r="I57" s="52"/>
      <c r="J57" s="52"/>
      <c r="K57" s="52"/>
      <c r="P57" s="66"/>
    </row>
    <row r="58" spans="1:16">
      <c r="A58" t="s">
        <v>495</v>
      </c>
      <c r="B58" s="66">
        <v>2</v>
      </c>
      <c r="E58" s="52" t="s">
        <v>52</v>
      </c>
      <c r="F58" s="52" t="s">
        <v>464</v>
      </c>
      <c r="G58" s="52" t="s">
        <v>582</v>
      </c>
      <c r="H58" s="52" t="s">
        <v>52</v>
      </c>
      <c r="I58" s="52" t="s">
        <v>464</v>
      </c>
      <c r="J58" s="52" t="s">
        <v>582</v>
      </c>
      <c r="K58" s="52"/>
      <c r="P58" s="66"/>
    </row>
    <row r="59" spans="1:16">
      <c r="A59" t="s">
        <v>348</v>
      </c>
      <c r="B59" s="66">
        <v>4</v>
      </c>
      <c r="E59" s="52" t="s">
        <v>52</v>
      </c>
      <c r="F59" s="52" t="s">
        <v>744</v>
      </c>
      <c r="G59" s="52" t="s">
        <v>745</v>
      </c>
      <c r="H59" s="52"/>
      <c r="I59" s="52"/>
      <c r="J59" s="52"/>
      <c r="K59" s="52"/>
      <c r="P59" s="66"/>
    </row>
    <row r="60" spans="1:16">
      <c r="A60" t="s">
        <v>354</v>
      </c>
      <c r="B60" s="66">
        <v>2</v>
      </c>
      <c r="E60" s="52" t="s">
        <v>53</v>
      </c>
      <c r="F60" s="52" t="s">
        <v>412</v>
      </c>
      <c r="G60" s="52" t="s">
        <v>534</v>
      </c>
      <c r="H60" s="52" t="s">
        <v>53</v>
      </c>
      <c r="I60" s="52" t="s">
        <v>412</v>
      </c>
      <c r="J60" s="52" t="s">
        <v>534</v>
      </c>
      <c r="K60" s="52"/>
      <c r="P60" s="66"/>
    </row>
    <row r="61" spans="1:16">
      <c r="A61" t="s">
        <v>779</v>
      </c>
      <c r="B61" s="66">
        <v>4</v>
      </c>
      <c r="E61" s="52" t="s">
        <v>53</v>
      </c>
      <c r="F61" s="52" t="s">
        <v>429</v>
      </c>
      <c r="G61" s="52" t="s">
        <v>535</v>
      </c>
      <c r="H61" s="52" t="s">
        <v>53</v>
      </c>
      <c r="I61" s="52" t="s">
        <v>429</v>
      </c>
      <c r="J61" s="52" t="s">
        <v>535</v>
      </c>
      <c r="K61" s="52"/>
      <c r="P61" s="66"/>
    </row>
    <row r="62" spans="1:16">
      <c r="A62" t="s">
        <v>286</v>
      </c>
      <c r="B62" s="66">
        <v>8</v>
      </c>
      <c r="E62" s="52"/>
      <c r="F62" s="52"/>
      <c r="G62" s="52"/>
      <c r="H62" s="101" t="s">
        <v>53</v>
      </c>
      <c r="I62" s="101" t="s">
        <v>413</v>
      </c>
      <c r="J62" s="101" t="s">
        <v>536</v>
      </c>
      <c r="K62" s="52" t="s">
        <v>753</v>
      </c>
      <c r="P62" s="66"/>
    </row>
    <row r="63" spans="1:16">
      <c r="A63" t="s">
        <v>188</v>
      </c>
      <c r="B63" s="66">
        <v>32</v>
      </c>
      <c r="E63" s="52" t="s">
        <v>53</v>
      </c>
      <c r="F63" s="52" t="s">
        <v>413</v>
      </c>
      <c r="G63" s="52" t="s">
        <v>583</v>
      </c>
      <c r="H63" s="52" t="s">
        <v>53</v>
      </c>
      <c r="I63" s="52" t="s">
        <v>413</v>
      </c>
      <c r="J63" s="52" t="s">
        <v>583</v>
      </c>
      <c r="K63" s="52"/>
      <c r="P63" s="66"/>
    </row>
    <row r="64" spans="1:16">
      <c r="A64" t="s">
        <v>210</v>
      </c>
      <c r="B64" s="66">
        <v>1</v>
      </c>
      <c r="E64" s="52" t="s">
        <v>53</v>
      </c>
      <c r="F64" s="52" t="s">
        <v>430</v>
      </c>
      <c r="G64" s="52" t="s">
        <v>537</v>
      </c>
      <c r="H64" s="52" t="s">
        <v>53</v>
      </c>
      <c r="I64" s="52" t="s">
        <v>430</v>
      </c>
      <c r="J64" s="52" t="s">
        <v>537</v>
      </c>
      <c r="K64" s="40" t="s">
        <v>982</v>
      </c>
      <c r="P64" s="66"/>
    </row>
    <row r="65" spans="1:16">
      <c r="A65" t="s">
        <v>780</v>
      </c>
      <c r="B65" s="66">
        <v>2</v>
      </c>
      <c r="E65" s="52" t="s">
        <v>53</v>
      </c>
      <c r="F65" s="52" t="s">
        <v>430</v>
      </c>
      <c r="G65" s="52" t="s">
        <v>584</v>
      </c>
      <c r="H65" s="52" t="s">
        <v>53</v>
      </c>
      <c r="I65" s="52" t="s">
        <v>430</v>
      </c>
      <c r="J65" s="52" t="s">
        <v>584</v>
      </c>
      <c r="K65" s="52"/>
      <c r="P65" s="66"/>
    </row>
    <row r="66" spans="1:16">
      <c r="A66" t="s">
        <v>781</v>
      </c>
      <c r="B66" s="66">
        <v>1</v>
      </c>
      <c r="E66" s="52" t="s">
        <v>53</v>
      </c>
      <c r="F66" s="52" t="s">
        <v>431</v>
      </c>
      <c r="G66" s="52" t="s">
        <v>585</v>
      </c>
      <c r="H66" s="52" t="s">
        <v>53</v>
      </c>
      <c r="I66" s="52" t="s">
        <v>431</v>
      </c>
      <c r="J66" s="52" t="s">
        <v>585</v>
      </c>
      <c r="K66" s="52"/>
      <c r="P66" s="66"/>
    </row>
    <row r="67" spans="1:16">
      <c r="A67" t="s">
        <v>315</v>
      </c>
      <c r="B67" s="66">
        <v>12</v>
      </c>
      <c r="E67" s="52" t="s">
        <v>53</v>
      </c>
      <c r="F67" s="52" t="s">
        <v>465</v>
      </c>
      <c r="G67" s="52" t="s">
        <v>586</v>
      </c>
      <c r="H67" s="52" t="s">
        <v>53</v>
      </c>
      <c r="I67" s="52" t="s">
        <v>465</v>
      </c>
      <c r="J67" s="52" t="s">
        <v>586</v>
      </c>
      <c r="K67" s="52"/>
    </row>
    <row r="68" spans="1:16">
      <c r="A68" t="s">
        <v>782</v>
      </c>
      <c r="B68" s="66">
        <v>1</v>
      </c>
      <c r="E68" s="52" t="s">
        <v>53</v>
      </c>
      <c r="F68" s="52" t="s">
        <v>466</v>
      </c>
      <c r="G68" s="52" t="s">
        <v>587</v>
      </c>
      <c r="H68" s="52" t="s">
        <v>53</v>
      </c>
      <c r="I68" s="52" t="s">
        <v>466</v>
      </c>
      <c r="J68" s="52" t="s">
        <v>587</v>
      </c>
      <c r="K68" s="52"/>
    </row>
    <row r="69" spans="1:16">
      <c r="A69" t="s">
        <v>628</v>
      </c>
      <c r="B69" s="66">
        <v>2</v>
      </c>
      <c r="E69" s="65" t="s">
        <v>53</v>
      </c>
      <c r="F69" s="65" t="s">
        <v>467</v>
      </c>
      <c r="G69" s="65" t="s">
        <v>619</v>
      </c>
      <c r="H69" s="100"/>
      <c r="I69" s="100"/>
      <c r="J69" s="100"/>
      <c r="K69" s="11" t="s">
        <v>981</v>
      </c>
    </row>
    <row r="70" spans="1:16">
      <c r="A70" t="s">
        <v>783</v>
      </c>
      <c r="B70" s="66">
        <v>2</v>
      </c>
      <c r="E70" s="52" t="s">
        <v>53</v>
      </c>
      <c r="F70" s="52" t="s">
        <v>467</v>
      </c>
      <c r="G70" s="52" t="s">
        <v>588</v>
      </c>
      <c r="H70" s="52" t="s">
        <v>53</v>
      </c>
      <c r="I70" s="52" t="s">
        <v>467</v>
      </c>
      <c r="J70" s="52" t="s">
        <v>588</v>
      </c>
      <c r="K70" s="52"/>
    </row>
    <row r="71" spans="1:16">
      <c r="A71" t="s">
        <v>496</v>
      </c>
      <c r="B71" s="66">
        <v>1</v>
      </c>
      <c r="E71" s="52" t="s">
        <v>53</v>
      </c>
      <c r="F71" s="52" t="s">
        <v>462</v>
      </c>
      <c r="G71" s="52" t="s">
        <v>589</v>
      </c>
      <c r="H71" s="52" t="s">
        <v>53</v>
      </c>
      <c r="I71" s="52" t="s">
        <v>462</v>
      </c>
      <c r="J71" s="52" t="s">
        <v>589</v>
      </c>
      <c r="K71" s="11"/>
    </row>
    <row r="72" spans="1:16">
      <c r="A72" t="s">
        <v>784</v>
      </c>
      <c r="B72" s="66">
        <v>1</v>
      </c>
      <c r="E72" s="52" t="s">
        <v>53</v>
      </c>
      <c r="F72" s="52" t="s">
        <v>468</v>
      </c>
      <c r="G72" s="52" t="s">
        <v>590</v>
      </c>
      <c r="H72" s="52" t="s">
        <v>53</v>
      </c>
      <c r="I72" s="52" t="s">
        <v>468</v>
      </c>
      <c r="J72" s="52" t="s">
        <v>590</v>
      </c>
      <c r="K72" s="52"/>
    </row>
    <row r="73" spans="1:16">
      <c r="A73" t="s">
        <v>338</v>
      </c>
      <c r="B73" s="66">
        <v>48</v>
      </c>
      <c r="E73" s="52" t="s">
        <v>53</v>
      </c>
      <c r="F73" s="52" t="s">
        <v>469</v>
      </c>
      <c r="G73" s="52" t="s">
        <v>591</v>
      </c>
      <c r="H73" s="52" t="s">
        <v>53</v>
      </c>
      <c r="I73" s="52" t="s">
        <v>469</v>
      </c>
      <c r="J73" s="52" t="s">
        <v>591</v>
      </c>
      <c r="K73" s="52"/>
    </row>
    <row r="74" spans="1:16">
      <c r="A74" t="s">
        <v>269</v>
      </c>
      <c r="B74" s="66">
        <v>3</v>
      </c>
      <c r="E74" s="52" t="s">
        <v>53</v>
      </c>
      <c r="F74" s="52" t="s">
        <v>434</v>
      </c>
      <c r="G74" s="52" t="s">
        <v>542</v>
      </c>
      <c r="H74" s="52" t="s">
        <v>53</v>
      </c>
      <c r="I74" s="52" t="s">
        <v>434</v>
      </c>
      <c r="J74" s="52" t="s">
        <v>542</v>
      </c>
      <c r="K74" s="52"/>
    </row>
    <row r="75" spans="1:16">
      <c r="A75" t="s">
        <v>262</v>
      </c>
      <c r="B75" s="66">
        <v>2</v>
      </c>
      <c r="E75" s="53" t="s">
        <v>53</v>
      </c>
      <c r="F75" s="53" t="s">
        <v>436</v>
      </c>
      <c r="G75" s="53" t="s">
        <v>544</v>
      </c>
      <c r="H75" s="52"/>
      <c r="I75" s="52"/>
      <c r="J75" s="52"/>
      <c r="K75" s="52" t="s">
        <v>754</v>
      </c>
    </row>
    <row r="76" spans="1:16">
      <c r="A76" t="s">
        <v>785</v>
      </c>
      <c r="B76" s="66">
        <v>1</v>
      </c>
      <c r="E76" s="52" t="s">
        <v>53</v>
      </c>
      <c r="F76" s="52" t="s">
        <v>437</v>
      </c>
      <c r="G76" s="52" t="s">
        <v>545</v>
      </c>
      <c r="H76" s="52" t="s">
        <v>53</v>
      </c>
      <c r="I76" s="52" t="s">
        <v>437</v>
      </c>
      <c r="J76" s="52" t="s">
        <v>545</v>
      </c>
      <c r="K76" s="52"/>
    </row>
    <row r="77" spans="1:16">
      <c r="A77" t="s">
        <v>382</v>
      </c>
      <c r="B77" s="66">
        <v>2</v>
      </c>
      <c r="E77" s="52" t="s">
        <v>53</v>
      </c>
      <c r="F77" s="52" t="s">
        <v>438</v>
      </c>
      <c r="G77" s="52" t="s">
        <v>546</v>
      </c>
      <c r="H77" s="52" t="s">
        <v>53</v>
      </c>
      <c r="I77" s="52" t="s">
        <v>438</v>
      </c>
      <c r="J77" s="52" t="s">
        <v>546</v>
      </c>
      <c r="K77" s="52"/>
    </row>
    <row r="78" spans="1:16">
      <c r="A78" t="s">
        <v>171</v>
      </c>
      <c r="B78" s="66">
        <v>3</v>
      </c>
      <c r="E78" s="52" t="s">
        <v>53</v>
      </c>
      <c r="F78" s="52" t="s">
        <v>470</v>
      </c>
      <c r="G78" s="52" t="s">
        <v>592</v>
      </c>
      <c r="H78" s="52" t="s">
        <v>53</v>
      </c>
      <c r="I78" s="52" t="s">
        <v>470</v>
      </c>
      <c r="J78" s="52" t="s">
        <v>592</v>
      </c>
      <c r="K78" s="52"/>
    </row>
    <row r="79" spans="1:16">
      <c r="A79" t="s">
        <v>274</v>
      </c>
      <c r="B79" s="66">
        <v>31</v>
      </c>
      <c r="E79" s="52" t="s">
        <v>53</v>
      </c>
      <c r="F79" s="52" t="s">
        <v>371</v>
      </c>
      <c r="G79" s="52" t="s">
        <v>549</v>
      </c>
      <c r="H79" s="52" t="s">
        <v>53</v>
      </c>
      <c r="I79" s="52" t="s">
        <v>371</v>
      </c>
      <c r="J79" s="52" t="s">
        <v>549</v>
      </c>
      <c r="K79" s="52"/>
    </row>
    <row r="80" spans="1:16">
      <c r="A80" t="s">
        <v>629</v>
      </c>
      <c r="B80" s="66">
        <v>1</v>
      </c>
      <c r="E80" s="52" t="s">
        <v>53</v>
      </c>
      <c r="F80" s="52" t="s">
        <v>372</v>
      </c>
      <c r="G80" s="52" t="s">
        <v>551</v>
      </c>
      <c r="H80" s="52" t="s">
        <v>53</v>
      </c>
      <c r="I80" s="52" t="s">
        <v>372</v>
      </c>
      <c r="J80" s="52" t="s">
        <v>551</v>
      </c>
      <c r="K80" s="52"/>
    </row>
    <row r="81" spans="1:11">
      <c r="A81" t="s">
        <v>497</v>
      </c>
      <c r="B81" s="66">
        <v>1</v>
      </c>
      <c r="E81" s="52" t="s">
        <v>53</v>
      </c>
      <c r="F81" s="52" t="s">
        <v>442</v>
      </c>
      <c r="G81" s="52" t="s">
        <v>593</v>
      </c>
      <c r="H81" s="52" t="s">
        <v>53</v>
      </c>
      <c r="I81" s="52" t="s">
        <v>442</v>
      </c>
      <c r="J81" s="52" t="s">
        <v>593</v>
      </c>
      <c r="K81" s="52"/>
    </row>
    <row r="82" spans="1:11">
      <c r="A82" t="s">
        <v>786</v>
      </c>
      <c r="B82" s="66">
        <v>1</v>
      </c>
      <c r="E82" s="52" t="s">
        <v>53</v>
      </c>
      <c r="F82" s="52" t="s">
        <v>443</v>
      </c>
      <c r="G82" s="52" t="s">
        <v>553</v>
      </c>
      <c r="H82" s="52" t="s">
        <v>53</v>
      </c>
      <c r="I82" s="52" t="s">
        <v>443</v>
      </c>
      <c r="J82" s="52" t="s">
        <v>553</v>
      </c>
      <c r="K82" s="11"/>
    </row>
    <row r="83" spans="1:11">
      <c r="A83" t="s">
        <v>383</v>
      </c>
      <c r="B83" s="66">
        <v>5</v>
      </c>
      <c r="E83" s="52" t="s">
        <v>53</v>
      </c>
      <c r="F83" s="52" t="s">
        <v>532</v>
      </c>
      <c r="G83" s="52" t="s">
        <v>555</v>
      </c>
      <c r="H83" s="52" t="s">
        <v>53</v>
      </c>
      <c r="I83" s="52" t="s">
        <v>532</v>
      </c>
      <c r="J83" s="52" t="s">
        <v>555</v>
      </c>
      <c r="K83" s="52"/>
    </row>
    <row r="84" spans="1:11">
      <c r="A84" t="s">
        <v>173</v>
      </c>
      <c r="B84" s="66">
        <v>7</v>
      </c>
      <c r="E84" s="52" t="s">
        <v>53</v>
      </c>
      <c r="F84" s="52" t="s">
        <v>471</v>
      </c>
      <c r="G84" s="52" t="s">
        <v>594</v>
      </c>
      <c r="H84" s="52" t="s">
        <v>53</v>
      </c>
      <c r="I84" s="52" t="s">
        <v>471</v>
      </c>
      <c r="J84" s="52" t="s">
        <v>594</v>
      </c>
      <c r="K84" s="52"/>
    </row>
    <row r="85" spans="1:11">
      <c r="A85" t="s">
        <v>183</v>
      </c>
      <c r="B85" s="66">
        <v>37</v>
      </c>
      <c r="E85" s="52" t="s">
        <v>53</v>
      </c>
      <c r="F85" s="52" t="s">
        <v>447</v>
      </c>
      <c r="G85" s="52" t="s">
        <v>558</v>
      </c>
      <c r="H85" s="52" t="s">
        <v>53</v>
      </c>
      <c r="I85" s="52" t="s">
        <v>447</v>
      </c>
      <c r="J85" s="52" t="s">
        <v>558</v>
      </c>
      <c r="K85" s="52"/>
    </row>
    <row r="86" spans="1:11">
      <c r="A86" t="s">
        <v>787</v>
      </c>
      <c r="B86" s="66">
        <v>2</v>
      </c>
      <c r="E86" s="52" t="s">
        <v>53</v>
      </c>
      <c r="F86" s="52" t="s">
        <v>373</v>
      </c>
      <c r="G86" s="52" t="s">
        <v>595</v>
      </c>
      <c r="H86" s="52" t="s">
        <v>53</v>
      </c>
      <c r="I86" s="52" t="s">
        <v>373</v>
      </c>
      <c r="J86" s="52" t="s">
        <v>595</v>
      </c>
      <c r="K86" s="52"/>
    </row>
    <row r="87" spans="1:11">
      <c r="A87" t="s">
        <v>788</v>
      </c>
      <c r="B87" s="66">
        <v>1</v>
      </c>
      <c r="E87" s="52" t="s">
        <v>53</v>
      </c>
      <c r="F87" s="52" t="s">
        <v>374</v>
      </c>
      <c r="G87" s="52" t="s">
        <v>596</v>
      </c>
      <c r="H87" s="52" t="s">
        <v>53</v>
      </c>
      <c r="I87" s="52" t="s">
        <v>374</v>
      </c>
      <c r="J87" s="52" t="s">
        <v>596</v>
      </c>
      <c r="K87" s="52"/>
    </row>
    <row r="88" spans="1:11">
      <c r="A88" t="s">
        <v>789</v>
      </c>
      <c r="B88" s="66">
        <v>1</v>
      </c>
      <c r="E88" s="53" t="s">
        <v>53</v>
      </c>
      <c r="F88" s="53" t="s">
        <v>746</v>
      </c>
      <c r="G88" s="53" t="s">
        <v>747</v>
      </c>
      <c r="H88" s="52"/>
      <c r="I88" s="52"/>
      <c r="J88" s="52"/>
      <c r="K88" s="52"/>
    </row>
    <row r="89" spans="1:11">
      <c r="A89" t="s">
        <v>288</v>
      </c>
      <c r="B89" s="66">
        <v>5</v>
      </c>
      <c r="E89" s="52" t="s">
        <v>53</v>
      </c>
      <c r="F89" s="52" t="s">
        <v>464</v>
      </c>
      <c r="G89" s="52" t="s">
        <v>597</v>
      </c>
      <c r="H89" s="52" t="s">
        <v>53</v>
      </c>
      <c r="I89" s="52" t="s">
        <v>464</v>
      </c>
      <c r="J89" s="52" t="s">
        <v>597</v>
      </c>
      <c r="K89" s="52"/>
    </row>
    <row r="90" spans="1:11">
      <c r="A90" t="s">
        <v>630</v>
      </c>
      <c r="B90" s="66">
        <v>2</v>
      </c>
      <c r="E90" s="52" t="s">
        <v>53</v>
      </c>
      <c r="F90" s="52" t="s">
        <v>449</v>
      </c>
      <c r="G90" s="52" t="s">
        <v>562</v>
      </c>
      <c r="H90" s="52" t="s">
        <v>53</v>
      </c>
      <c r="I90" s="52" t="s">
        <v>449</v>
      </c>
      <c r="J90" s="52" t="s">
        <v>562</v>
      </c>
      <c r="K90" s="52"/>
    </row>
    <row r="91" spans="1:11">
      <c r="A91" t="s">
        <v>281</v>
      </c>
      <c r="B91" s="66">
        <v>1</v>
      </c>
      <c r="E91" s="52" t="s">
        <v>53</v>
      </c>
      <c r="F91" s="52" t="s">
        <v>376</v>
      </c>
      <c r="G91" s="52" t="s">
        <v>566</v>
      </c>
      <c r="H91" s="52" t="s">
        <v>53</v>
      </c>
      <c r="I91" s="52" t="s">
        <v>376</v>
      </c>
      <c r="J91" s="52" t="s">
        <v>566</v>
      </c>
      <c r="K91" s="52"/>
    </row>
    <row r="92" spans="1:11">
      <c r="A92" t="s">
        <v>151</v>
      </c>
      <c r="B92" s="66">
        <v>20</v>
      </c>
      <c r="E92" s="52" t="s">
        <v>53</v>
      </c>
      <c r="F92" s="52" t="s">
        <v>453</v>
      </c>
      <c r="G92" s="52" t="s">
        <v>598</v>
      </c>
      <c r="H92" s="52" t="s">
        <v>53</v>
      </c>
      <c r="I92" s="52" t="s">
        <v>453</v>
      </c>
      <c r="J92" s="52" t="s">
        <v>598</v>
      </c>
      <c r="K92" s="52"/>
    </row>
    <row r="93" spans="1:11">
      <c r="A93" t="s">
        <v>631</v>
      </c>
      <c r="B93" s="66">
        <v>1</v>
      </c>
      <c r="E93" s="52" t="s">
        <v>53</v>
      </c>
      <c r="F93" s="52" t="s">
        <v>454</v>
      </c>
      <c r="G93" s="52" t="s">
        <v>570</v>
      </c>
      <c r="H93" s="52" t="s">
        <v>53</v>
      </c>
      <c r="I93" s="52" t="s">
        <v>454</v>
      </c>
      <c r="J93" s="52" t="s">
        <v>570</v>
      </c>
      <c r="K93" s="52"/>
    </row>
    <row r="94" spans="1:11">
      <c r="A94" t="s">
        <v>790</v>
      </c>
      <c r="B94" s="66">
        <v>1</v>
      </c>
      <c r="E94" s="52" t="s">
        <v>53</v>
      </c>
      <c r="F94" s="52" t="s">
        <v>455</v>
      </c>
      <c r="G94" s="52" t="s">
        <v>599</v>
      </c>
      <c r="H94" s="52" t="s">
        <v>53</v>
      </c>
      <c r="I94" s="52" t="s">
        <v>455</v>
      </c>
      <c r="J94" s="52" t="s">
        <v>599</v>
      </c>
      <c r="K94" s="11"/>
    </row>
    <row r="95" spans="1:11">
      <c r="A95" t="s">
        <v>384</v>
      </c>
      <c r="B95" s="66">
        <v>1</v>
      </c>
      <c r="E95" s="52" t="s">
        <v>53</v>
      </c>
      <c r="F95" s="52" t="s">
        <v>472</v>
      </c>
      <c r="G95" s="52" t="s">
        <v>600</v>
      </c>
      <c r="H95" s="52" t="s">
        <v>53</v>
      </c>
      <c r="I95" s="52" t="s">
        <v>472</v>
      </c>
      <c r="J95" s="52" t="s">
        <v>600</v>
      </c>
      <c r="K95" s="52"/>
    </row>
    <row r="96" spans="1:11">
      <c r="A96" t="s">
        <v>197</v>
      </c>
      <c r="B96" s="66">
        <v>1</v>
      </c>
      <c r="E96" s="52" t="s">
        <v>53</v>
      </c>
      <c r="F96" s="52" t="s">
        <v>485</v>
      </c>
      <c r="G96" s="52" t="s">
        <v>601</v>
      </c>
      <c r="H96" s="52" t="s">
        <v>53</v>
      </c>
      <c r="I96" s="52" t="s">
        <v>485</v>
      </c>
      <c r="J96" s="52" t="s">
        <v>601</v>
      </c>
      <c r="K96" s="52"/>
    </row>
    <row r="97" spans="1:11">
      <c r="A97" t="s">
        <v>791</v>
      </c>
      <c r="B97" s="66">
        <v>1</v>
      </c>
      <c r="E97" s="52" t="s">
        <v>53</v>
      </c>
      <c r="F97" s="52" t="s">
        <v>473</v>
      </c>
      <c r="G97" s="52" t="s">
        <v>602</v>
      </c>
      <c r="H97" s="52" t="s">
        <v>53</v>
      </c>
      <c r="I97" s="52" t="s">
        <v>473</v>
      </c>
      <c r="J97" s="52" t="s">
        <v>602</v>
      </c>
      <c r="K97" s="52"/>
    </row>
    <row r="98" spans="1:11">
      <c r="A98" t="s">
        <v>215</v>
      </c>
      <c r="B98" s="66">
        <v>6</v>
      </c>
      <c r="E98" s="52" t="s">
        <v>53</v>
      </c>
      <c r="F98" s="52" t="s">
        <v>474</v>
      </c>
      <c r="G98" s="52" t="s">
        <v>603</v>
      </c>
      <c r="H98" s="52" t="s">
        <v>53</v>
      </c>
      <c r="I98" s="52" t="s">
        <v>474</v>
      </c>
      <c r="J98" s="52" t="s">
        <v>603</v>
      </c>
      <c r="K98" s="52"/>
    </row>
    <row r="99" spans="1:11">
      <c r="A99" t="s">
        <v>343</v>
      </c>
      <c r="B99" s="66">
        <v>40</v>
      </c>
      <c r="E99" s="52" t="s">
        <v>53</v>
      </c>
      <c r="F99" s="52" t="s">
        <v>475</v>
      </c>
      <c r="G99" s="52" t="s">
        <v>604</v>
      </c>
      <c r="H99" s="52" t="s">
        <v>53</v>
      </c>
      <c r="I99" s="52" t="s">
        <v>475</v>
      </c>
      <c r="J99" s="52" t="s">
        <v>604</v>
      </c>
      <c r="K99" s="52"/>
    </row>
    <row r="100" spans="1:11">
      <c r="A100" t="s">
        <v>792</v>
      </c>
      <c r="B100" s="66">
        <v>1</v>
      </c>
      <c r="E100" s="52" t="s">
        <v>53</v>
      </c>
      <c r="F100" s="52" t="s">
        <v>476</v>
      </c>
      <c r="G100" s="52" t="s">
        <v>605</v>
      </c>
      <c r="H100" s="52" t="s">
        <v>53</v>
      </c>
      <c r="I100" s="52" t="s">
        <v>476</v>
      </c>
      <c r="J100" s="52" t="s">
        <v>605</v>
      </c>
      <c r="K100" s="11"/>
    </row>
    <row r="101" spans="1:11">
      <c r="A101" t="s">
        <v>226</v>
      </c>
      <c r="B101" s="66">
        <v>1</v>
      </c>
      <c r="E101" s="52" t="s">
        <v>53</v>
      </c>
      <c r="F101" s="52" t="s">
        <v>477</v>
      </c>
      <c r="G101" s="52" t="s">
        <v>606</v>
      </c>
      <c r="H101" s="52" t="s">
        <v>53</v>
      </c>
      <c r="I101" s="52" t="s">
        <v>477</v>
      </c>
      <c r="J101" s="52" t="s">
        <v>606</v>
      </c>
      <c r="K101" s="52"/>
    </row>
    <row r="102" spans="1:11">
      <c r="A102" t="s">
        <v>498</v>
      </c>
      <c r="B102" s="66">
        <v>1</v>
      </c>
      <c r="E102" s="52" t="s">
        <v>53</v>
      </c>
      <c r="F102" s="52" t="s">
        <v>460</v>
      </c>
      <c r="G102" s="52" t="s">
        <v>577</v>
      </c>
      <c r="H102" s="52" t="s">
        <v>53</v>
      </c>
      <c r="I102" s="52" t="s">
        <v>460</v>
      </c>
      <c r="J102" s="52" t="s">
        <v>577</v>
      </c>
      <c r="K102" s="52"/>
    </row>
    <row r="103" spans="1:11">
      <c r="A103" t="s">
        <v>313</v>
      </c>
      <c r="B103" s="66">
        <v>2</v>
      </c>
      <c r="E103" s="53" t="s">
        <v>53</v>
      </c>
      <c r="F103" s="53" t="s">
        <v>533</v>
      </c>
      <c r="G103" s="53" t="s">
        <v>748</v>
      </c>
      <c r="H103" s="52"/>
      <c r="I103" s="52"/>
      <c r="J103" s="52"/>
      <c r="K103" s="52"/>
    </row>
    <row r="104" spans="1:11">
      <c r="A104" t="s">
        <v>499</v>
      </c>
      <c r="B104" s="66">
        <v>3</v>
      </c>
      <c r="E104" s="52" t="s">
        <v>53</v>
      </c>
      <c r="F104" s="52" t="s">
        <v>533</v>
      </c>
      <c r="G104" s="52" t="s">
        <v>607</v>
      </c>
      <c r="H104" s="52" t="s">
        <v>53</v>
      </c>
      <c r="I104" s="52" t="s">
        <v>533</v>
      </c>
      <c r="J104" s="52" t="s">
        <v>607</v>
      </c>
      <c r="K104" s="52"/>
    </row>
    <row r="105" spans="1:11">
      <c r="A105" t="s">
        <v>385</v>
      </c>
      <c r="B105" s="66">
        <v>14</v>
      </c>
      <c r="E105" s="52" t="s">
        <v>53</v>
      </c>
      <c r="F105" s="52" t="s">
        <v>478</v>
      </c>
      <c r="G105" s="52" t="s">
        <v>608</v>
      </c>
      <c r="H105" s="52" t="s">
        <v>53</v>
      </c>
      <c r="I105" s="52" t="s">
        <v>478</v>
      </c>
      <c r="J105" s="52" t="s">
        <v>608</v>
      </c>
      <c r="K105" s="52"/>
    </row>
    <row r="106" spans="1:11">
      <c r="A106" t="s">
        <v>793</v>
      </c>
      <c r="B106" s="66">
        <v>2</v>
      </c>
      <c r="E106" s="52" t="s">
        <v>53</v>
      </c>
      <c r="F106" s="52" t="s">
        <v>417</v>
      </c>
      <c r="G106" s="52" t="s">
        <v>579</v>
      </c>
      <c r="H106" s="52" t="s">
        <v>53</v>
      </c>
      <c r="I106" s="52" t="s">
        <v>417</v>
      </c>
      <c r="J106" s="52" t="s">
        <v>579</v>
      </c>
      <c r="K106" s="52"/>
    </row>
    <row r="107" spans="1:11">
      <c r="A107" t="s">
        <v>794</v>
      </c>
      <c r="B107" s="66">
        <v>1</v>
      </c>
      <c r="E107" s="52" t="s">
        <v>54</v>
      </c>
      <c r="F107" s="52" t="s">
        <v>466</v>
      </c>
      <c r="G107" s="52" t="s">
        <v>587</v>
      </c>
      <c r="H107" s="52" t="s">
        <v>54</v>
      </c>
      <c r="I107" s="52" t="s">
        <v>466</v>
      </c>
      <c r="J107" s="52" t="s">
        <v>587</v>
      </c>
      <c r="K107" s="52"/>
    </row>
    <row r="108" spans="1:11">
      <c r="A108" t="s">
        <v>795</v>
      </c>
      <c r="B108" s="66">
        <v>1</v>
      </c>
      <c r="E108" s="52" t="s">
        <v>54</v>
      </c>
      <c r="F108" s="52" t="s">
        <v>479</v>
      </c>
      <c r="G108" s="52" t="s">
        <v>609</v>
      </c>
      <c r="H108" s="52" t="s">
        <v>54</v>
      </c>
      <c r="I108" s="52" t="s">
        <v>479</v>
      </c>
      <c r="J108" s="52" t="s">
        <v>609</v>
      </c>
      <c r="K108" s="52"/>
    </row>
    <row r="109" spans="1:11">
      <c r="A109" t="s">
        <v>349</v>
      </c>
      <c r="B109" s="66">
        <v>6</v>
      </c>
      <c r="E109" s="52" t="s">
        <v>54</v>
      </c>
      <c r="F109" s="52" t="s">
        <v>480</v>
      </c>
      <c r="G109" s="52" t="s">
        <v>610</v>
      </c>
      <c r="H109" s="52" t="s">
        <v>54</v>
      </c>
      <c r="I109" s="52" t="s">
        <v>480</v>
      </c>
      <c r="J109" s="52" t="s">
        <v>610</v>
      </c>
      <c r="K109" s="52"/>
    </row>
    <row r="110" spans="1:11">
      <c r="A110" t="s">
        <v>632</v>
      </c>
      <c r="B110" s="66">
        <v>1</v>
      </c>
      <c r="E110" s="52" t="s">
        <v>54</v>
      </c>
      <c r="F110" s="52" t="s">
        <v>481</v>
      </c>
      <c r="G110" s="52" t="s">
        <v>611</v>
      </c>
      <c r="H110" s="52" t="s">
        <v>54</v>
      </c>
      <c r="I110" s="52" t="s">
        <v>481</v>
      </c>
      <c r="J110" s="52" t="s">
        <v>611</v>
      </c>
      <c r="K110" s="52"/>
    </row>
    <row r="111" spans="1:11">
      <c r="A111" t="s">
        <v>263</v>
      </c>
      <c r="B111" s="66">
        <v>1</v>
      </c>
      <c r="E111" s="53" t="s">
        <v>54</v>
      </c>
      <c r="F111" s="53" t="s">
        <v>749</v>
      </c>
      <c r="G111" s="53" t="s">
        <v>750</v>
      </c>
      <c r="H111" s="52"/>
      <c r="I111" s="52"/>
      <c r="J111" s="52"/>
      <c r="K111" s="52"/>
    </row>
    <row r="112" spans="1:11">
      <c r="A112" t="s">
        <v>796</v>
      </c>
      <c r="B112" s="66">
        <v>1</v>
      </c>
      <c r="E112" s="52" t="s">
        <v>54</v>
      </c>
      <c r="F112" s="52" t="s">
        <v>482</v>
      </c>
      <c r="G112" s="52" t="s">
        <v>612</v>
      </c>
      <c r="H112" s="52" t="s">
        <v>54</v>
      </c>
      <c r="I112" s="52" t="s">
        <v>482</v>
      </c>
      <c r="J112" s="52" t="s">
        <v>612</v>
      </c>
      <c r="K112" s="52"/>
    </row>
    <row r="113" spans="1:11">
      <c r="A113" t="s">
        <v>200</v>
      </c>
      <c r="B113" s="66">
        <v>5</v>
      </c>
      <c r="E113" s="52" t="s">
        <v>44</v>
      </c>
      <c r="F113" s="52" t="s">
        <v>466</v>
      </c>
      <c r="G113" s="52" t="s">
        <v>613</v>
      </c>
      <c r="H113" s="52" t="s">
        <v>44</v>
      </c>
      <c r="I113" s="52" t="s">
        <v>466</v>
      </c>
      <c r="J113" s="52" t="s">
        <v>613</v>
      </c>
      <c r="K113" s="52"/>
    </row>
    <row r="114" spans="1:11">
      <c r="A114" t="s">
        <v>386</v>
      </c>
      <c r="B114" s="66">
        <v>2</v>
      </c>
      <c r="E114" s="52" t="s">
        <v>46</v>
      </c>
      <c r="F114" s="52" t="s">
        <v>483</v>
      </c>
      <c r="G114" s="52" t="s">
        <v>614</v>
      </c>
      <c r="H114" s="52" t="s">
        <v>46</v>
      </c>
      <c r="I114" s="52" t="s">
        <v>483</v>
      </c>
      <c r="J114" s="52" t="s">
        <v>614</v>
      </c>
      <c r="K114" s="52"/>
    </row>
    <row r="115" spans="1:11">
      <c r="A115" t="s">
        <v>797</v>
      </c>
      <c r="B115" s="66">
        <v>1</v>
      </c>
      <c r="E115" s="52" t="s">
        <v>46</v>
      </c>
      <c r="F115" s="52" t="s">
        <v>484</v>
      </c>
      <c r="G115" s="52" t="s">
        <v>615</v>
      </c>
      <c r="H115" s="52" t="s">
        <v>46</v>
      </c>
      <c r="I115" s="52" t="s">
        <v>484</v>
      </c>
      <c r="J115" s="52" t="s">
        <v>615</v>
      </c>
      <c r="K115" s="52"/>
    </row>
    <row r="116" spans="1:11">
      <c r="A116" t="s">
        <v>798</v>
      </c>
      <c r="B116" s="66">
        <v>1</v>
      </c>
      <c r="E116" s="60">
        <v>19</v>
      </c>
      <c r="F116" s="60">
        <v>513818</v>
      </c>
      <c r="G116" s="60" t="s">
        <v>616</v>
      </c>
      <c r="H116" s="52" t="s">
        <v>48</v>
      </c>
      <c r="I116" s="52" t="s">
        <v>482</v>
      </c>
      <c r="J116" s="52" t="s">
        <v>616</v>
      </c>
      <c r="K116" s="52"/>
    </row>
    <row r="117" spans="1:11">
      <c r="A117" t="s">
        <v>500</v>
      </c>
      <c r="B117" s="66">
        <v>1</v>
      </c>
      <c r="K117" s="52"/>
    </row>
    <row r="118" spans="1:11">
      <c r="A118" t="s">
        <v>799</v>
      </c>
      <c r="B118" s="66">
        <v>2</v>
      </c>
      <c r="K118" s="52"/>
    </row>
    <row r="119" spans="1:11">
      <c r="A119" t="s">
        <v>800</v>
      </c>
      <c r="B119" s="66">
        <v>1</v>
      </c>
      <c r="K119" s="52"/>
    </row>
    <row r="120" spans="1:11">
      <c r="A120" t="s">
        <v>633</v>
      </c>
      <c r="B120" s="66">
        <v>1</v>
      </c>
    </row>
    <row r="121" spans="1:11">
      <c r="A121" t="s">
        <v>801</v>
      </c>
      <c r="B121" s="66">
        <v>1</v>
      </c>
    </row>
    <row r="122" spans="1:11">
      <c r="A122" t="s">
        <v>377</v>
      </c>
      <c r="B122" s="66">
        <v>5</v>
      </c>
    </row>
    <row r="123" spans="1:11">
      <c r="A123" t="s">
        <v>634</v>
      </c>
      <c r="B123" s="66">
        <v>1</v>
      </c>
    </row>
    <row r="124" spans="1:11">
      <c r="A124" t="s">
        <v>378</v>
      </c>
      <c r="B124" s="66">
        <v>4</v>
      </c>
    </row>
    <row r="125" spans="1:11">
      <c r="A125" t="s">
        <v>802</v>
      </c>
      <c r="B125" s="66">
        <v>1</v>
      </c>
    </row>
    <row r="126" spans="1:11">
      <c r="A126" t="s">
        <v>387</v>
      </c>
      <c r="B126" s="66">
        <v>1</v>
      </c>
    </row>
    <row r="127" spans="1:11">
      <c r="A127" t="s">
        <v>803</v>
      </c>
      <c r="B127" s="66">
        <v>1</v>
      </c>
    </row>
    <row r="128" spans="1:11">
      <c r="A128" t="s">
        <v>804</v>
      </c>
      <c r="B128" s="66">
        <v>1</v>
      </c>
    </row>
    <row r="129" spans="1:2">
      <c r="A129" t="s">
        <v>805</v>
      </c>
      <c r="B129" s="66">
        <v>1</v>
      </c>
    </row>
    <row r="130" spans="1:2">
      <c r="A130" t="s">
        <v>806</v>
      </c>
      <c r="B130" s="66">
        <v>1</v>
      </c>
    </row>
    <row r="131" spans="1:2">
      <c r="A131" t="s">
        <v>807</v>
      </c>
      <c r="B131" s="66">
        <v>1</v>
      </c>
    </row>
    <row r="132" spans="1:2">
      <c r="A132" t="s">
        <v>379</v>
      </c>
      <c r="B132" s="66">
        <v>2</v>
      </c>
    </row>
    <row r="133" spans="1:2">
      <c r="A133" t="s">
        <v>808</v>
      </c>
      <c r="B133" s="66">
        <v>1</v>
      </c>
    </row>
    <row r="134" spans="1:2">
      <c r="A134" t="s">
        <v>635</v>
      </c>
      <c r="B134" s="66">
        <v>1</v>
      </c>
    </row>
    <row r="135" spans="1:2">
      <c r="A135" t="s">
        <v>809</v>
      </c>
      <c r="B135" s="66">
        <v>1</v>
      </c>
    </row>
    <row r="136" spans="1:2">
      <c r="A136" t="s">
        <v>810</v>
      </c>
      <c r="B136" s="66">
        <v>1</v>
      </c>
    </row>
    <row r="137" spans="1:2">
      <c r="A137" t="s">
        <v>311</v>
      </c>
      <c r="B137" s="66">
        <v>3</v>
      </c>
    </row>
    <row r="138" spans="1:2">
      <c r="A138" t="s">
        <v>232</v>
      </c>
      <c r="B138" s="66">
        <v>1</v>
      </c>
    </row>
    <row r="139" spans="1:2">
      <c r="A139" t="s">
        <v>487</v>
      </c>
      <c r="B139" s="66">
        <v>2</v>
      </c>
    </row>
    <row r="140" spans="1:2">
      <c r="A140" t="s">
        <v>298</v>
      </c>
      <c r="B140" s="66">
        <v>17</v>
      </c>
    </row>
    <row r="141" spans="1:2">
      <c r="A141" t="s">
        <v>341</v>
      </c>
      <c r="B141" s="66">
        <v>5</v>
      </c>
    </row>
    <row r="142" spans="1:2">
      <c r="A142" t="s">
        <v>501</v>
      </c>
      <c r="B142" s="66">
        <v>2</v>
      </c>
    </row>
    <row r="143" spans="1:2">
      <c r="A143" t="s">
        <v>811</v>
      </c>
      <c r="B143" s="66">
        <v>1</v>
      </c>
    </row>
    <row r="144" spans="1:2">
      <c r="A144" t="s">
        <v>812</v>
      </c>
      <c r="B144" s="66">
        <v>1</v>
      </c>
    </row>
    <row r="145" spans="1:2">
      <c r="A145" t="s">
        <v>256</v>
      </c>
      <c r="B145" s="66">
        <v>2</v>
      </c>
    </row>
    <row r="146" spans="1:2">
      <c r="A146" t="s">
        <v>488</v>
      </c>
      <c r="B146" s="66">
        <v>1</v>
      </c>
    </row>
    <row r="147" spans="1:2">
      <c r="A147" t="s">
        <v>176</v>
      </c>
      <c r="B147" s="66">
        <v>5</v>
      </c>
    </row>
    <row r="148" spans="1:2">
      <c r="A148" t="s">
        <v>303</v>
      </c>
      <c r="B148" s="66">
        <v>4</v>
      </c>
    </row>
    <row r="149" spans="1:2">
      <c r="A149" t="s">
        <v>813</v>
      </c>
      <c r="B149" s="66">
        <v>1</v>
      </c>
    </row>
    <row r="150" spans="1:2">
      <c r="A150" t="s">
        <v>279</v>
      </c>
      <c r="B150" s="66">
        <v>8</v>
      </c>
    </row>
    <row r="151" spans="1:2">
      <c r="A151" t="s">
        <v>322</v>
      </c>
      <c r="B151" s="66">
        <v>3</v>
      </c>
    </row>
    <row r="152" spans="1:2">
      <c r="A152" t="s">
        <v>191</v>
      </c>
      <c r="B152" s="66">
        <v>2</v>
      </c>
    </row>
    <row r="153" spans="1:2">
      <c r="A153" t="s">
        <v>636</v>
      </c>
      <c r="B153" s="66">
        <v>1</v>
      </c>
    </row>
    <row r="154" spans="1:2">
      <c r="A154" t="s">
        <v>242</v>
      </c>
      <c r="B154" s="66">
        <v>4</v>
      </c>
    </row>
    <row r="155" spans="1:2">
      <c r="A155" t="s">
        <v>307</v>
      </c>
      <c r="B155" s="66">
        <v>1</v>
      </c>
    </row>
    <row r="156" spans="1:2">
      <c r="A156" t="s">
        <v>181</v>
      </c>
      <c r="B156" s="66">
        <v>52</v>
      </c>
    </row>
    <row r="157" spans="1:2">
      <c r="A157" t="s">
        <v>243</v>
      </c>
      <c r="B157" s="66">
        <v>19</v>
      </c>
    </row>
    <row r="158" spans="1:2">
      <c r="A158" t="s">
        <v>272</v>
      </c>
      <c r="B158" s="66">
        <v>1</v>
      </c>
    </row>
    <row r="159" spans="1:2">
      <c r="A159" t="s">
        <v>489</v>
      </c>
      <c r="B159" s="66">
        <v>4</v>
      </c>
    </row>
    <row r="160" spans="1:2">
      <c r="A160" t="s">
        <v>502</v>
      </c>
      <c r="B160" s="66">
        <v>1</v>
      </c>
    </row>
    <row r="161" spans="1:2">
      <c r="A161" t="s">
        <v>814</v>
      </c>
      <c r="B161" s="66">
        <v>1</v>
      </c>
    </row>
    <row r="162" spans="1:2">
      <c r="A162" t="s">
        <v>815</v>
      </c>
      <c r="B162" s="66">
        <v>1</v>
      </c>
    </row>
    <row r="163" spans="1:2">
      <c r="A163" t="s">
        <v>292</v>
      </c>
      <c r="B163" s="66">
        <v>3</v>
      </c>
    </row>
    <row r="164" spans="1:2">
      <c r="A164" t="s">
        <v>323</v>
      </c>
      <c r="B164" s="66">
        <v>5</v>
      </c>
    </row>
    <row r="165" spans="1:2">
      <c r="A165" t="s">
        <v>637</v>
      </c>
      <c r="B165" s="66">
        <v>2</v>
      </c>
    </row>
    <row r="166" spans="1:2">
      <c r="A166" t="s">
        <v>816</v>
      </c>
      <c r="B166" s="66">
        <v>3</v>
      </c>
    </row>
    <row r="167" spans="1:2">
      <c r="A167" t="s">
        <v>817</v>
      </c>
      <c r="B167" s="66">
        <v>1</v>
      </c>
    </row>
    <row r="168" spans="1:2">
      <c r="A168" t="s">
        <v>503</v>
      </c>
      <c r="B168" s="66">
        <v>1</v>
      </c>
    </row>
    <row r="169" spans="1:2">
      <c r="A169" t="s">
        <v>332</v>
      </c>
      <c r="B169" s="66">
        <v>13</v>
      </c>
    </row>
    <row r="170" spans="1:2">
      <c r="A170" t="s">
        <v>189</v>
      </c>
      <c r="B170" s="66">
        <v>5</v>
      </c>
    </row>
    <row r="171" spans="1:2">
      <c r="A171" t="s">
        <v>244</v>
      </c>
      <c r="B171" s="66">
        <v>16</v>
      </c>
    </row>
    <row r="172" spans="1:2">
      <c r="A172" t="s">
        <v>163</v>
      </c>
      <c r="B172" s="66">
        <v>8</v>
      </c>
    </row>
    <row r="173" spans="1:2">
      <c r="A173" t="s">
        <v>504</v>
      </c>
      <c r="B173" s="66">
        <v>1</v>
      </c>
    </row>
    <row r="174" spans="1:2">
      <c r="A174" t="s">
        <v>638</v>
      </c>
      <c r="B174" s="66">
        <v>1</v>
      </c>
    </row>
    <row r="175" spans="1:2">
      <c r="A175" t="s">
        <v>388</v>
      </c>
      <c r="B175" s="66">
        <v>4</v>
      </c>
    </row>
    <row r="176" spans="1:2">
      <c r="A176" t="s">
        <v>818</v>
      </c>
      <c r="B176" s="66">
        <v>1</v>
      </c>
    </row>
    <row r="177" spans="1:2">
      <c r="A177" t="s">
        <v>819</v>
      </c>
      <c r="B177" s="66">
        <v>2</v>
      </c>
    </row>
    <row r="178" spans="1:2">
      <c r="A178" t="s">
        <v>639</v>
      </c>
      <c r="B178" s="66">
        <v>1</v>
      </c>
    </row>
    <row r="179" spans="1:2">
      <c r="A179" t="s">
        <v>640</v>
      </c>
      <c r="B179" s="66">
        <v>1</v>
      </c>
    </row>
    <row r="180" spans="1:2">
      <c r="A180" t="s">
        <v>641</v>
      </c>
      <c r="B180" s="66">
        <v>7</v>
      </c>
    </row>
    <row r="181" spans="1:2">
      <c r="A181" t="s">
        <v>642</v>
      </c>
      <c r="B181" s="66">
        <v>13</v>
      </c>
    </row>
    <row r="182" spans="1:2">
      <c r="A182" t="s">
        <v>505</v>
      </c>
      <c r="B182" s="66">
        <v>2</v>
      </c>
    </row>
    <row r="183" spans="1:2">
      <c r="A183" t="s">
        <v>172</v>
      </c>
      <c r="B183" s="66">
        <v>1</v>
      </c>
    </row>
    <row r="184" spans="1:2">
      <c r="A184" t="s">
        <v>643</v>
      </c>
      <c r="B184" s="66">
        <v>2</v>
      </c>
    </row>
    <row r="185" spans="1:2">
      <c r="A185" t="s">
        <v>344</v>
      </c>
      <c r="B185" s="66">
        <v>5</v>
      </c>
    </row>
    <row r="186" spans="1:2">
      <c r="A186" t="s">
        <v>233</v>
      </c>
      <c r="B186" s="66">
        <v>1</v>
      </c>
    </row>
    <row r="187" spans="1:2">
      <c r="A187" t="s">
        <v>238</v>
      </c>
      <c r="B187" s="66">
        <v>22</v>
      </c>
    </row>
    <row r="188" spans="1:2">
      <c r="A188" t="s">
        <v>297</v>
      </c>
      <c r="B188" s="66">
        <v>18</v>
      </c>
    </row>
    <row r="189" spans="1:2">
      <c r="A189" t="s">
        <v>506</v>
      </c>
      <c r="B189" s="66">
        <v>2</v>
      </c>
    </row>
    <row r="190" spans="1:2">
      <c r="A190" t="s">
        <v>820</v>
      </c>
      <c r="B190" s="66">
        <v>1</v>
      </c>
    </row>
    <row r="191" spans="1:2">
      <c r="A191" t="s">
        <v>644</v>
      </c>
      <c r="B191" s="66">
        <v>1</v>
      </c>
    </row>
    <row r="192" spans="1:2">
      <c r="A192" t="s">
        <v>645</v>
      </c>
      <c r="B192" s="66">
        <v>1</v>
      </c>
    </row>
    <row r="193" spans="1:2">
      <c r="A193" t="s">
        <v>328</v>
      </c>
      <c r="B193" s="66">
        <v>2</v>
      </c>
    </row>
    <row r="194" spans="1:2">
      <c r="A194" t="s">
        <v>490</v>
      </c>
      <c r="B194" s="66">
        <v>3</v>
      </c>
    </row>
    <row r="195" spans="1:2">
      <c r="A195" t="s">
        <v>646</v>
      </c>
      <c r="B195" s="66">
        <v>1</v>
      </c>
    </row>
    <row r="196" spans="1:2">
      <c r="A196" t="s">
        <v>647</v>
      </c>
      <c r="B196" s="66">
        <v>1</v>
      </c>
    </row>
    <row r="197" spans="1:2">
      <c r="A197" t="s">
        <v>821</v>
      </c>
      <c r="B197" s="66">
        <v>1</v>
      </c>
    </row>
    <row r="198" spans="1:2">
      <c r="A198" t="s">
        <v>822</v>
      </c>
      <c r="B198" s="66">
        <v>2</v>
      </c>
    </row>
    <row r="199" spans="1:2">
      <c r="A199" t="s">
        <v>347</v>
      </c>
      <c r="B199" s="66">
        <v>1</v>
      </c>
    </row>
    <row r="200" spans="1:2">
      <c r="A200" t="s">
        <v>291</v>
      </c>
      <c r="B200" s="66">
        <v>9</v>
      </c>
    </row>
    <row r="201" spans="1:2">
      <c r="A201" t="s">
        <v>204</v>
      </c>
      <c r="B201" s="66">
        <v>10</v>
      </c>
    </row>
    <row r="202" spans="1:2">
      <c r="A202" t="s">
        <v>648</v>
      </c>
      <c r="B202" s="66">
        <v>2</v>
      </c>
    </row>
    <row r="203" spans="1:2">
      <c r="A203" t="s">
        <v>823</v>
      </c>
      <c r="B203" s="66">
        <v>2</v>
      </c>
    </row>
    <row r="204" spans="1:2">
      <c r="A204" t="s">
        <v>824</v>
      </c>
      <c r="B204" s="66">
        <v>1</v>
      </c>
    </row>
    <row r="205" spans="1:2">
      <c r="A205" t="s">
        <v>825</v>
      </c>
      <c r="B205" s="66">
        <v>1</v>
      </c>
    </row>
    <row r="206" spans="1:2">
      <c r="A206" t="s">
        <v>826</v>
      </c>
      <c r="B206" s="66">
        <v>1</v>
      </c>
    </row>
    <row r="207" spans="1:2">
      <c r="A207" t="s">
        <v>827</v>
      </c>
      <c r="B207" s="66">
        <v>1</v>
      </c>
    </row>
    <row r="208" spans="1:2">
      <c r="A208" t="s">
        <v>302</v>
      </c>
      <c r="B208" s="66">
        <v>2</v>
      </c>
    </row>
    <row r="209" spans="1:2">
      <c r="A209" t="s">
        <v>828</v>
      </c>
      <c r="B209" s="66">
        <v>2</v>
      </c>
    </row>
    <row r="210" spans="1:2">
      <c r="A210" t="s">
        <v>331</v>
      </c>
      <c r="B210" s="66">
        <v>9</v>
      </c>
    </row>
    <row r="211" spans="1:2">
      <c r="A211" t="s">
        <v>304</v>
      </c>
      <c r="B211" s="66">
        <v>5</v>
      </c>
    </row>
    <row r="212" spans="1:2">
      <c r="A212" t="s">
        <v>326</v>
      </c>
      <c r="B212" s="66">
        <v>1</v>
      </c>
    </row>
    <row r="213" spans="1:2">
      <c r="A213" t="s">
        <v>212</v>
      </c>
      <c r="B213" s="66">
        <v>27</v>
      </c>
    </row>
    <row r="214" spans="1:2">
      <c r="A214" t="s">
        <v>155</v>
      </c>
      <c r="B214" s="66">
        <v>2</v>
      </c>
    </row>
    <row r="215" spans="1:2">
      <c r="A215" t="s">
        <v>334</v>
      </c>
      <c r="B215" s="66">
        <v>85</v>
      </c>
    </row>
    <row r="216" spans="1:2">
      <c r="A216" t="s">
        <v>211</v>
      </c>
      <c r="B216" s="66">
        <v>27</v>
      </c>
    </row>
    <row r="217" spans="1:2">
      <c r="A217" t="s">
        <v>175</v>
      </c>
      <c r="B217" s="66">
        <v>2</v>
      </c>
    </row>
    <row r="218" spans="1:2">
      <c r="A218" t="s">
        <v>310</v>
      </c>
      <c r="B218" s="66">
        <v>1</v>
      </c>
    </row>
    <row r="219" spans="1:2">
      <c r="A219" t="s">
        <v>179</v>
      </c>
      <c r="B219" s="66">
        <v>5</v>
      </c>
    </row>
    <row r="220" spans="1:2">
      <c r="A220" t="s">
        <v>649</v>
      </c>
      <c r="B220" s="66">
        <v>2</v>
      </c>
    </row>
    <row r="221" spans="1:2">
      <c r="A221" t="s">
        <v>342</v>
      </c>
      <c r="B221" s="66">
        <v>1</v>
      </c>
    </row>
    <row r="222" spans="1:2">
      <c r="A222" t="s">
        <v>829</v>
      </c>
      <c r="B222" s="66">
        <v>1</v>
      </c>
    </row>
    <row r="223" spans="1:2">
      <c r="A223" t="s">
        <v>270</v>
      </c>
      <c r="B223" s="66">
        <v>13</v>
      </c>
    </row>
    <row r="224" spans="1:2">
      <c r="A224" t="s">
        <v>195</v>
      </c>
      <c r="B224" s="66">
        <v>3</v>
      </c>
    </row>
    <row r="225" spans="1:2">
      <c r="A225" t="s">
        <v>830</v>
      </c>
      <c r="B225" s="66">
        <v>1</v>
      </c>
    </row>
    <row r="226" spans="1:2">
      <c r="A226" t="s">
        <v>287</v>
      </c>
      <c r="B226" s="66">
        <v>26</v>
      </c>
    </row>
    <row r="227" spans="1:2">
      <c r="A227" t="s">
        <v>339</v>
      </c>
      <c r="B227" s="66">
        <v>31</v>
      </c>
    </row>
    <row r="228" spans="1:2">
      <c r="A228" t="s">
        <v>831</v>
      </c>
      <c r="B228" s="66">
        <v>1</v>
      </c>
    </row>
    <row r="229" spans="1:2">
      <c r="A229" t="s">
        <v>174</v>
      </c>
      <c r="B229" s="66">
        <v>1</v>
      </c>
    </row>
    <row r="230" spans="1:2">
      <c r="A230" t="s">
        <v>832</v>
      </c>
      <c r="B230" s="66">
        <v>3</v>
      </c>
    </row>
    <row r="231" spans="1:2">
      <c r="A231" t="s">
        <v>389</v>
      </c>
      <c r="B231" s="66">
        <v>2</v>
      </c>
    </row>
    <row r="232" spans="1:2">
      <c r="A232" t="s">
        <v>202</v>
      </c>
      <c r="B232" s="66">
        <v>3</v>
      </c>
    </row>
    <row r="233" spans="1:2">
      <c r="A233" t="s">
        <v>833</v>
      </c>
      <c r="B233" s="66">
        <v>1</v>
      </c>
    </row>
    <row r="234" spans="1:2">
      <c r="A234" t="s">
        <v>284</v>
      </c>
      <c r="B234" s="66">
        <v>2</v>
      </c>
    </row>
    <row r="235" spans="1:2">
      <c r="A235" t="s">
        <v>650</v>
      </c>
      <c r="B235" s="66">
        <v>1</v>
      </c>
    </row>
    <row r="236" spans="1:2">
      <c r="A236" t="s">
        <v>241</v>
      </c>
      <c r="B236" s="66">
        <v>13</v>
      </c>
    </row>
    <row r="237" spans="1:2">
      <c r="A237" t="s">
        <v>390</v>
      </c>
      <c r="B237" s="66">
        <v>1</v>
      </c>
    </row>
    <row r="238" spans="1:2">
      <c r="A238" t="s">
        <v>153</v>
      </c>
      <c r="B238" s="66">
        <v>1</v>
      </c>
    </row>
    <row r="239" spans="1:2">
      <c r="A239" t="s">
        <v>651</v>
      </c>
      <c r="B239" s="66">
        <v>1</v>
      </c>
    </row>
    <row r="240" spans="1:2">
      <c r="A240" t="s">
        <v>834</v>
      </c>
      <c r="B240" s="66">
        <v>1</v>
      </c>
    </row>
    <row r="241" spans="1:2">
      <c r="A241" t="s">
        <v>835</v>
      </c>
      <c r="B241" s="66">
        <v>1</v>
      </c>
    </row>
    <row r="242" spans="1:2">
      <c r="A242" t="s">
        <v>228</v>
      </c>
      <c r="B242" s="66">
        <v>6</v>
      </c>
    </row>
    <row r="243" spans="1:2">
      <c r="A243" t="s">
        <v>198</v>
      </c>
      <c r="B243" s="66">
        <v>6</v>
      </c>
    </row>
    <row r="244" spans="1:2">
      <c r="A244" t="s">
        <v>652</v>
      </c>
      <c r="B244" s="66">
        <v>1</v>
      </c>
    </row>
    <row r="245" spans="1:2">
      <c r="A245" t="s">
        <v>836</v>
      </c>
      <c r="B245" s="66">
        <v>1</v>
      </c>
    </row>
    <row r="246" spans="1:2">
      <c r="A246" t="s">
        <v>301</v>
      </c>
      <c r="B246" s="66">
        <v>4</v>
      </c>
    </row>
    <row r="247" spans="1:2">
      <c r="A247" t="s">
        <v>213</v>
      </c>
      <c r="B247" s="66">
        <v>6</v>
      </c>
    </row>
    <row r="248" spans="1:2">
      <c r="A248" t="s">
        <v>837</v>
      </c>
      <c r="B248" s="66">
        <v>1</v>
      </c>
    </row>
    <row r="249" spans="1:2">
      <c r="A249" t="s">
        <v>838</v>
      </c>
      <c r="B249" s="66">
        <v>1</v>
      </c>
    </row>
    <row r="250" spans="1:2">
      <c r="A250" t="s">
        <v>839</v>
      </c>
      <c r="B250" s="66">
        <v>1</v>
      </c>
    </row>
    <row r="251" spans="1:2">
      <c r="A251" t="s">
        <v>840</v>
      </c>
      <c r="B251" s="66">
        <v>1</v>
      </c>
    </row>
    <row r="252" spans="1:2">
      <c r="A252" t="s">
        <v>305</v>
      </c>
      <c r="B252" s="66">
        <v>1</v>
      </c>
    </row>
    <row r="253" spans="1:2">
      <c r="A253" t="s">
        <v>184</v>
      </c>
      <c r="B253" s="66">
        <v>1</v>
      </c>
    </row>
    <row r="254" spans="1:2">
      <c r="A254" t="s">
        <v>330</v>
      </c>
      <c r="B254" s="66">
        <v>9</v>
      </c>
    </row>
    <row r="255" spans="1:2">
      <c r="A255" t="s">
        <v>261</v>
      </c>
      <c r="B255" s="66">
        <v>3</v>
      </c>
    </row>
    <row r="256" spans="1:2">
      <c r="A256" t="s">
        <v>653</v>
      </c>
      <c r="B256" s="66">
        <v>1</v>
      </c>
    </row>
    <row r="257" spans="1:2">
      <c r="A257" t="s">
        <v>841</v>
      </c>
      <c r="B257" s="66">
        <v>1</v>
      </c>
    </row>
    <row r="258" spans="1:2">
      <c r="A258" t="s">
        <v>842</v>
      </c>
      <c r="B258" s="66">
        <v>1</v>
      </c>
    </row>
    <row r="259" spans="1:2">
      <c r="A259" t="s">
        <v>491</v>
      </c>
      <c r="B259" s="66">
        <v>1</v>
      </c>
    </row>
    <row r="260" spans="1:2">
      <c r="A260" t="s">
        <v>654</v>
      </c>
      <c r="B260" s="66">
        <v>1</v>
      </c>
    </row>
    <row r="261" spans="1:2">
      <c r="A261" t="s">
        <v>209</v>
      </c>
      <c r="B261" s="66">
        <v>8</v>
      </c>
    </row>
    <row r="262" spans="1:2">
      <c r="A262" t="s">
        <v>843</v>
      </c>
      <c r="B262" s="66">
        <v>1</v>
      </c>
    </row>
    <row r="263" spans="1:2">
      <c r="A263" t="s">
        <v>844</v>
      </c>
      <c r="B263" s="66">
        <v>1</v>
      </c>
    </row>
    <row r="264" spans="1:2">
      <c r="A264" t="s">
        <v>845</v>
      </c>
      <c r="B264" s="66">
        <v>3</v>
      </c>
    </row>
    <row r="265" spans="1:2">
      <c r="A265" t="s">
        <v>655</v>
      </c>
      <c r="B265" s="66">
        <v>1</v>
      </c>
    </row>
    <row r="266" spans="1:2">
      <c r="A266" t="s">
        <v>246</v>
      </c>
      <c r="B266" s="66">
        <v>21</v>
      </c>
    </row>
    <row r="267" spans="1:2">
      <c r="A267" t="s">
        <v>285</v>
      </c>
      <c r="B267" s="66">
        <v>3</v>
      </c>
    </row>
    <row r="268" spans="1:2">
      <c r="A268" t="s">
        <v>846</v>
      </c>
      <c r="B268" s="66">
        <v>1</v>
      </c>
    </row>
    <row r="269" spans="1:2">
      <c r="A269" t="s">
        <v>656</v>
      </c>
      <c r="B269" s="66">
        <v>1</v>
      </c>
    </row>
    <row r="270" spans="1:2">
      <c r="A270" t="s">
        <v>657</v>
      </c>
      <c r="B270" s="66">
        <v>1</v>
      </c>
    </row>
    <row r="271" spans="1:2">
      <c r="A271" t="s">
        <v>276</v>
      </c>
      <c r="B271" s="66">
        <v>14</v>
      </c>
    </row>
    <row r="272" spans="1:2">
      <c r="A272" t="s">
        <v>220</v>
      </c>
      <c r="B272" s="66">
        <v>2</v>
      </c>
    </row>
    <row r="273" spans="1:2">
      <c r="A273" t="s">
        <v>847</v>
      </c>
      <c r="B273" s="66">
        <v>1</v>
      </c>
    </row>
    <row r="274" spans="1:2">
      <c r="A274" t="s">
        <v>492</v>
      </c>
      <c r="B274" s="66">
        <v>2</v>
      </c>
    </row>
    <row r="275" spans="1:2">
      <c r="A275" t="s">
        <v>316</v>
      </c>
      <c r="B275" s="66">
        <v>4</v>
      </c>
    </row>
    <row r="276" spans="1:2">
      <c r="A276" t="s">
        <v>253</v>
      </c>
      <c r="B276" s="66">
        <v>4</v>
      </c>
    </row>
    <row r="277" spans="1:2">
      <c r="A277" t="s">
        <v>848</v>
      </c>
      <c r="B277" s="66">
        <v>1</v>
      </c>
    </row>
    <row r="278" spans="1:2">
      <c r="A278" t="s">
        <v>849</v>
      </c>
      <c r="B278" s="66">
        <v>1</v>
      </c>
    </row>
    <row r="279" spans="1:2">
      <c r="A279" t="s">
        <v>850</v>
      </c>
      <c r="B279" s="66">
        <v>1</v>
      </c>
    </row>
    <row r="280" spans="1:2">
      <c r="A280" t="s">
        <v>658</v>
      </c>
      <c r="B280" s="66">
        <v>1</v>
      </c>
    </row>
    <row r="281" spans="1:2">
      <c r="A281" t="s">
        <v>851</v>
      </c>
      <c r="B281" s="66">
        <v>1</v>
      </c>
    </row>
    <row r="282" spans="1:2">
      <c r="A282" t="s">
        <v>324</v>
      </c>
      <c r="B282" s="66">
        <v>3</v>
      </c>
    </row>
    <row r="283" spans="1:2">
      <c r="A283" t="s">
        <v>237</v>
      </c>
      <c r="B283" s="66">
        <v>29</v>
      </c>
    </row>
    <row r="284" spans="1:2">
      <c r="A284" t="s">
        <v>659</v>
      </c>
      <c r="B284" s="66">
        <v>1</v>
      </c>
    </row>
    <row r="285" spans="1:2">
      <c r="A285" t="s">
        <v>660</v>
      </c>
      <c r="B285" s="66">
        <v>1</v>
      </c>
    </row>
    <row r="286" spans="1:2">
      <c r="A286" t="s">
        <v>852</v>
      </c>
      <c r="B286" s="66">
        <v>1</v>
      </c>
    </row>
    <row r="287" spans="1:2">
      <c r="A287" t="s">
        <v>853</v>
      </c>
      <c r="B287" s="66">
        <v>1</v>
      </c>
    </row>
    <row r="288" spans="1:2">
      <c r="A288" t="s">
        <v>340</v>
      </c>
      <c r="B288" s="66">
        <v>7</v>
      </c>
    </row>
    <row r="289" spans="1:2">
      <c r="A289" t="s">
        <v>314</v>
      </c>
      <c r="B289" s="66">
        <v>8</v>
      </c>
    </row>
    <row r="290" spans="1:2">
      <c r="A290" t="s">
        <v>254</v>
      </c>
      <c r="B290" s="66">
        <v>2</v>
      </c>
    </row>
    <row r="291" spans="1:2">
      <c r="A291" t="s">
        <v>507</v>
      </c>
      <c r="B291" s="66">
        <v>2</v>
      </c>
    </row>
    <row r="292" spans="1:2">
      <c r="A292" t="s">
        <v>854</v>
      </c>
      <c r="B292" s="66">
        <v>1</v>
      </c>
    </row>
    <row r="293" spans="1:2">
      <c r="A293" t="s">
        <v>855</v>
      </c>
      <c r="B293" s="66">
        <v>1</v>
      </c>
    </row>
    <row r="294" spans="1:2">
      <c r="A294" t="s">
        <v>352</v>
      </c>
      <c r="B294" s="66">
        <v>10</v>
      </c>
    </row>
    <row r="295" spans="1:2">
      <c r="A295" s="1" t="s">
        <v>856</v>
      </c>
      <c r="B295" s="66">
        <v>1</v>
      </c>
    </row>
    <row r="296" spans="1:2">
      <c r="A296" t="s">
        <v>222</v>
      </c>
      <c r="B296" s="66">
        <v>2</v>
      </c>
    </row>
    <row r="297" spans="1:2">
      <c r="A297" t="s">
        <v>268</v>
      </c>
      <c r="B297" s="66">
        <v>16</v>
      </c>
    </row>
    <row r="298" spans="1:2">
      <c r="A298" t="s">
        <v>259</v>
      </c>
      <c r="B298" s="66">
        <v>2</v>
      </c>
    </row>
    <row r="299" spans="1:2">
      <c r="A299" t="s">
        <v>661</v>
      </c>
      <c r="B299" s="66">
        <v>2</v>
      </c>
    </row>
    <row r="300" spans="1:2">
      <c r="A300" t="s">
        <v>251</v>
      </c>
      <c r="B300" s="66">
        <v>6</v>
      </c>
    </row>
    <row r="301" spans="1:2">
      <c r="A301" t="s">
        <v>662</v>
      </c>
      <c r="B301" s="66">
        <v>3</v>
      </c>
    </row>
    <row r="302" spans="1:2">
      <c r="A302" t="s">
        <v>168</v>
      </c>
      <c r="B302" s="66">
        <v>30</v>
      </c>
    </row>
    <row r="303" spans="1:2">
      <c r="A303" t="s">
        <v>391</v>
      </c>
      <c r="B303" s="66">
        <v>2</v>
      </c>
    </row>
    <row r="304" spans="1:2">
      <c r="A304" t="s">
        <v>152</v>
      </c>
      <c r="B304" s="66">
        <v>229</v>
      </c>
    </row>
    <row r="305" spans="1:2">
      <c r="A305" t="s">
        <v>207</v>
      </c>
      <c r="B305" s="66">
        <v>34</v>
      </c>
    </row>
    <row r="306" spans="1:2">
      <c r="A306" t="s">
        <v>282</v>
      </c>
      <c r="B306" s="66">
        <v>8</v>
      </c>
    </row>
    <row r="307" spans="1:2">
      <c r="A307" t="s">
        <v>392</v>
      </c>
      <c r="B307" s="66">
        <v>1</v>
      </c>
    </row>
    <row r="308" spans="1:2">
      <c r="A308" t="s">
        <v>857</v>
      </c>
      <c r="B308" s="66">
        <v>3</v>
      </c>
    </row>
    <row r="309" spans="1:2">
      <c r="A309" t="s">
        <v>858</v>
      </c>
      <c r="B309" s="66">
        <v>1</v>
      </c>
    </row>
    <row r="310" spans="1:2">
      <c r="A310" t="s">
        <v>859</v>
      </c>
      <c r="B310" s="66">
        <v>2</v>
      </c>
    </row>
    <row r="311" spans="1:2">
      <c r="A311" t="s">
        <v>320</v>
      </c>
      <c r="B311" s="66">
        <v>4</v>
      </c>
    </row>
    <row r="312" spans="1:2">
      <c r="A312" t="s">
        <v>157</v>
      </c>
      <c r="B312" s="66">
        <v>7</v>
      </c>
    </row>
    <row r="313" spans="1:2">
      <c r="A313" t="s">
        <v>327</v>
      </c>
      <c r="B313" s="66">
        <v>9</v>
      </c>
    </row>
    <row r="314" spans="1:2">
      <c r="A314" t="s">
        <v>860</v>
      </c>
      <c r="B314" s="66">
        <v>1</v>
      </c>
    </row>
    <row r="315" spans="1:2">
      <c r="A315" t="s">
        <v>158</v>
      </c>
      <c r="B315" s="66">
        <v>7</v>
      </c>
    </row>
    <row r="316" spans="1:2">
      <c r="A316" t="s">
        <v>221</v>
      </c>
      <c r="B316" s="66">
        <v>4</v>
      </c>
    </row>
    <row r="317" spans="1:2">
      <c r="A317" t="s">
        <v>167</v>
      </c>
      <c r="B317" s="66">
        <v>12</v>
      </c>
    </row>
    <row r="318" spans="1:2">
      <c r="A318" t="s">
        <v>289</v>
      </c>
      <c r="B318" s="66">
        <v>15</v>
      </c>
    </row>
    <row r="319" spans="1:2">
      <c r="A319" t="s">
        <v>861</v>
      </c>
      <c r="B319" s="66">
        <v>1</v>
      </c>
    </row>
    <row r="320" spans="1:2">
      <c r="A320" t="s">
        <v>862</v>
      </c>
      <c r="B320" s="66">
        <v>1</v>
      </c>
    </row>
    <row r="321" spans="1:2">
      <c r="A321" t="s">
        <v>235</v>
      </c>
      <c r="B321" s="66">
        <v>83</v>
      </c>
    </row>
    <row r="322" spans="1:2">
      <c r="A322" t="s">
        <v>150</v>
      </c>
      <c r="B322" s="66">
        <v>161</v>
      </c>
    </row>
    <row r="323" spans="1:2">
      <c r="A323" t="s">
        <v>240</v>
      </c>
      <c r="B323" s="66">
        <v>4</v>
      </c>
    </row>
    <row r="324" spans="1:2">
      <c r="A324" t="s">
        <v>192</v>
      </c>
      <c r="B324" s="66">
        <v>6</v>
      </c>
    </row>
    <row r="325" spans="1:2">
      <c r="A325" t="s">
        <v>393</v>
      </c>
      <c r="B325" s="66">
        <v>6</v>
      </c>
    </row>
    <row r="326" spans="1:2">
      <c r="A326" t="s">
        <v>283</v>
      </c>
      <c r="B326" s="66">
        <v>5</v>
      </c>
    </row>
    <row r="327" spans="1:2">
      <c r="A327" t="s">
        <v>863</v>
      </c>
      <c r="B327" s="66">
        <v>1</v>
      </c>
    </row>
    <row r="328" spans="1:2">
      <c r="A328" t="s">
        <v>508</v>
      </c>
      <c r="B328" s="66">
        <v>4</v>
      </c>
    </row>
    <row r="329" spans="1:2">
      <c r="A329" t="s">
        <v>864</v>
      </c>
      <c r="B329" s="66">
        <v>1</v>
      </c>
    </row>
    <row r="330" spans="1:2">
      <c r="A330" t="s">
        <v>394</v>
      </c>
      <c r="B330" s="66">
        <v>1</v>
      </c>
    </row>
    <row r="331" spans="1:2">
      <c r="A331" t="s">
        <v>865</v>
      </c>
      <c r="B331" s="66">
        <v>2</v>
      </c>
    </row>
    <row r="332" spans="1:2">
      <c r="A332" t="s">
        <v>663</v>
      </c>
      <c r="B332" s="66">
        <v>4</v>
      </c>
    </row>
    <row r="333" spans="1:2">
      <c r="A333" t="s">
        <v>245</v>
      </c>
      <c r="B333" s="66">
        <v>4</v>
      </c>
    </row>
    <row r="334" spans="1:2">
      <c r="A334" t="s">
        <v>186</v>
      </c>
      <c r="B334" s="66">
        <v>24</v>
      </c>
    </row>
    <row r="335" spans="1:2">
      <c r="A335" t="s">
        <v>182</v>
      </c>
      <c r="B335" s="66">
        <v>25</v>
      </c>
    </row>
    <row r="336" spans="1:2">
      <c r="A336" t="s">
        <v>866</v>
      </c>
      <c r="B336" s="66">
        <v>1</v>
      </c>
    </row>
    <row r="337" spans="1:2">
      <c r="A337" t="s">
        <v>664</v>
      </c>
      <c r="B337" s="66">
        <v>1</v>
      </c>
    </row>
    <row r="338" spans="1:2">
      <c r="A338" t="s">
        <v>867</v>
      </c>
      <c r="B338" s="66">
        <v>1</v>
      </c>
    </row>
    <row r="339" spans="1:2">
      <c r="A339" t="s">
        <v>868</v>
      </c>
      <c r="B339" s="66">
        <v>1</v>
      </c>
    </row>
    <row r="340" spans="1:2">
      <c r="A340" t="s">
        <v>271</v>
      </c>
      <c r="B340" s="66">
        <v>18</v>
      </c>
    </row>
    <row r="341" spans="1:2">
      <c r="A341" t="s">
        <v>665</v>
      </c>
      <c r="B341" s="66">
        <v>1</v>
      </c>
    </row>
    <row r="342" spans="1:2">
      <c r="A342" t="s">
        <v>395</v>
      </c>
      <c r="B342" s="66">
        <v>1</v>
      </c>
    </row>
    <row r="343" spans="1:2">
      <c r="A343" t="s">
        <v>666</v>
      </c>
      <c r="B343" s="66">
        <v>2</v>
      </c>
    </row>
    <row r="344" spans="1:2">
      <c r="A344" t="s">
        <v>294</v>
      </c>
      <c r="B344" s="66">
        <v>14</v>
      </c>
    </row>
    <row r="345" spans="1:2">
      <c r="A345" t="s">
        <v>345</v>
      </c>
      <c r="B345" s="66">
        <v>19</v>
      </c>
    </row>
    <row r="346" spans="1:2">
      <c r="A346" t="s">
        <v>667</v>
      </c>
      <c r="B346" s="66">
        <v>1</v>
      </c>
    </row>
    <row r="347" spans="1:2">
      <c r="A347" t="s">
        <v>668</v>
      </c>
      <c r="B347" s="66">
        <v>1</v>
      </c>
    </row>
    <row r="348" spans="1:2">
      <c r="A348" t="s">
        <v>869</v>
      </c>
      <c r="B348" s="66">
        <v>1</v>
      </c>
    </row>
    <row r="349" spans="1:2">
      <c r="A349" t="s">
        <v>870</v>
      </c>
      <c r="B349" s="66">
        <v>2</v>
      </c>
    </row>
    <row r="350" spans="1:2">
      <c r="A350" t="s">
        <v>871</v>
      </c>
      <c r="B350" s="66">
        <v>1</v>
      </c>
    </row>
    <row r="351" spans="1:2">
      <c r="A351" t="s">
        <v>872</v>
      </c>
      <c r="B351" s="66">
        <v>1</v>
      </c>
    </row>
    <row r="352" spans="1:2">
      <c r="A352" t="s">
        <v>873</v>
      </c>
      <c r="B352" s="66">
        <v>1</v>
      </c>
    </row>
    <row r="353" spans="1:2">
      <c r="A353" t="s">
        <v>874</v>
      </c>
      <c r="B353" s="66">
        <v>1</v>
      </c>
    </row>
    <row r="354" spans="1:2">
      <c r="A354" t="s">
        <v>875</v>
      </c>
      <c r="B354" s="66">
        <v>1</v>
      </c>
    </row>
    <row r="355" spans="1:2">
      <c r="A355" t="s">
        <v>669</v>
      </c>
      <c r="B355" s="66">
        <v>1</v>
      </c>
    </row>
    <row r="356" spans="1:2">
      <c r="A356" t="s">
        <v>876</v>
      </c>
      <c r="B356" s="66">
        <v>2</v>
      </c>
    </row>
    <row r="357" spans="1:2">
      <c r="A357" t="s">
        <v>877</v>
      </c>
      <c r="B357" s="66">
        <v>2</v>
      </c>
    </row>
    <row r="358" spans="1:2">
      <c r="A358" t="s">
        <v>878</v>
      </c>
      <c r="B358" s="66">
        <v>1</v>
      </c>
    </row>
    <row r="359" spans="1:2">
      <c r="A359" t="s">
        <v>879</v>
      </c>
      <c r="B359" s="66">
        <v>1</v>
      </c>
    </row>
    <row r="360" spans="1:2">
      <c r="A360" t="s">
        <v>880</v>
      </c>
      <c r="B360" s="66">
        <v>1</v>
      </c>
    </row>
    <row r="361" spans="1:2">
      <c r="A361" t="s">
        <v>227</v>
      </c>
      <c r="B361" s="66">
        <v>1</v>
      </c>
    </row>
    <row r="362" spans="1:2">
      <c r="A362" t="s">
        <v>333</v>
      </c>
      <c r="B362" s="66">
        <v>6</v>
      </c>
    </row>
    <row r="363" spans="1:2">
      <c r="A363" t="s">
        <v>881</v>
      </c>
      <c r="B363" s="66">
        <v>1</v>
      </c>
    </row>
    <row r="364" spans="1:2">
      <c r="A364" t="s">
        <v>396</v>
      </c>
      <c r="B364" s="66">
        <v>1</v>
      </c>
    </row>
    <row r="365" spans="1:2">
      <c r="A365" t="s">
        <v>882</v>
      </c>
      <c r="B365" s="66">
        <v>1</v>
      </c>
    </row>
    <row r="366" spans="1:2">
      <c r="A366" t="s">
        <v>170</v>
      </c>
      <c r="B366" s="66">
        <v>3</v>
      </c>
    </row>
    <row r="367" spans="1:2">
      <c r="A367" t="s">
        <v>883</v>
      </c>
      <c r="B367" s="66">
        <v>1</v>
      </c>
    </row>
    <row r="368" spans="1:2">
      <c r="A368" t="s">
        <v>252</v>
      </c>
      <c r="B368" s="66">
        <v>3</v>
      </c>
    </row>
    <row r="369" spans="1:2">
      <c r="A369" t="s">
        <v>884</v>
      </c>
      <c r="B369" s="66">
        <v>1</v>
      </c>
    </row>
    <row r="370" spans="1:2">
      <c r="A370" t="s">
        <v>670</v>
      </c>
      <c r="B370" s="66">
        <v>2</v>
      </c>
    </row>
    <row r="371" spans="1:2">
      <c r="A371" t="s">
        <v>397</v>
      </c>
      <c r="B371" s="66">
        <v>1</v>
      </c>
    </row>
    <row r="372" spans="1:2">
      <c r="A372" t="s">
        <v>885</v>
      </c>
      <c r="B372" s="66">
        <v>1</v>
      </c>
    </row>
    <row r="373" spans="1:2">
      <c r="A373" t="s">
        <v>509</v>
      </c>
      <c r="B373" s="66">
        <v>1</v>
      </c>
    </row>
    <row r="374" spans="1:2">
      <c r="A374" t="s">
        <v>886</v>
      </c>
      <c r="B374" s="66">
        <v>1</v>
      </c>
    </row>
    <row r="375" spans="1:2">
      <c r="A375" t="s">
        <v>510</v>
      </c>
      <c r="B375" s="66">
        <v>11</v>
      </c>
    </row>
    <row r="376" spans="1:2">
      <c r="A376" t="s">
        <v>356</v>
      </c>
      <c r="B376" s="66">
        <v>6</v>
      </c>
    </row>
    <row r="377" spans="1:2">
      <c r="A377" t="s">
        <v>671</v>
      </c>
      <c r="B377" s="66">
        <v>2</v>
      </c>
    </row>
    <row r="378" spans="1:2">
      <c r="A378" t="s">
        <v>205</v>
      </c>
      <c r="B378" s="66">
        <v>18</v>
      </c>
    </row>
    <row r="379" spans="1:2">
      <c r="A379" t="s">
        <v>201</v>
      </c>
      <c r="B379" s="66">
        <v>9</v>
      </c>
    </row>
    <row r="380" spans="1:2">
      <c r="A380" t="s">
        <v>336</v>
      </c>
      <c r="B380" s="66">
        <v>1</v>
      </c>
    </row>
    <row r="381" spans="1:2">
      <c r="A381" t="s">
        <v>887</v>
      </c>
      <c r="B381" s="66">
        <v>1</v>
      </c>
    </row>
    <row r="382" spans="1:2">
      <c r="A382" t="s">
        <v>888</v>
      </c>
      <c r="B382" s="66">
        <v>1</v>
      </c>
    </row>
    <row r="383" spans="1:2">
      <c r="A383" t="s">
        <v>511</v>
      </c>
      <c r="B383" s="66">
        <v>2</v>
      </c>
    </row>
    <row r="384" spans="1:2">
      <c r="A384" t="s">
        <v>512</v>
      </c>
      <c r="B384" s="66">
        <v>1</v>
      </c>
    </row>
    <row r="385" spans="1:2">
      <c r="A385" t="s">
        <v>296</v>
      </c>
      <c r="B385" s="66">
        <v>18</v>
      </c>
    </row>
    <row r="386" spans="1:2">
      <c r="A386" t="s">
        <v>398</v>
      </c>
      <c r="B386" s="66">
        <v>4</v>
      </c>
    </row>
    <row r="387" spans="1:2">
      <c r="A387" t="s">
        <v>889</v>
      </c>
      <c r="B387" s="66">
        <v>1</v>
      </c>
    </row>
    <row r="388" spans="1:2">
      <c r="A388" t="s">
        <v>229</v>
      </c>
      <c r="B388" s="66">
        <v>5</v>
      </c>
    </row>
    <row r="389" spans="1:2">
      <c r="A389" t="s">
        <v>672</v>
      </c>
      <c r="B389" s="66">
        <v>2</v>
      </c>
    </row>
    <row r="390" spans="1:2">
      <c r="A390" t="s">
        <v>673</v>
      </c>
      <c r="B390" s="66">
        <v>1</v>
      </c>
    </row>
    <row r="391" spans="1:2">
      <c r="A391" t="s">
        <v>513</v>
      </c>
      <c r="B391" s="66">
        <v>3</v>
      </c>
    </row>
    <row r="392" spans="1:2">
      <c r="A392" t="s">
        <v>890</v>
      </c>
      <c r="B392" s="66">
        <v>2</v>
      </c>
    </row>
    <row r="393" spans="1:2">
      <c r="A393" t="s">
        <v>218</v>
      </c>
      <c r="B393" s="66">
        <v>10</v>
      </c>
    </row>
    <row r="394" spans="1:2">
      <c r="A394" t="s">
        <v>275</v>
      </c>
      <c r="B394" s="66">
        <v>9</v>
      </c>
    </row>
    <row r="395" spans="1:2">
      <c r="A395" t="s">
        <v>674</v>
      </c>
      <c r="B395" s="66">
        <v>1</v>
      </c>
    </row>
    <row r="396" spans="1:2">
      <c r="A396" t="s">
        <v>891</v>
      </c>
      <c r="B396" s="66">
        <v>1</v>
      </c>
    </row>
    <row r="397" spans="1:2">
      <c r="A397" t="s">
        <v>361</v>
      </c>
      <c r="B397" s="66">
        <v>26</v>
      </c>
    </row>
    <row r="398" spans="1:2">
      <c r="A398" t="s">
        <v>214</v>
      </c>
      <c r="B398" s="66">
        <v>7</v>
      </c>
    </row>
    <row r="399" spans="1:2">
      <c r="A399" t="s">
        <v>273</v>
      </c>
      <c r="B399" s="66">
        <v>2</v>
      </c>
    </row>
    <row r="400" spans="1:2">
      <c r="A400" t="s">
        <v>248</v>
      </c>
      <c r="B400" s="66">
        <v>1</v>
      </c>
    </row>
    <row r="401" spans="1:2">
      <c r="A401" t="s">
        <v>675</v>
      </c>
      <c r="B401" s="66">
        <v>1</v>
      </c>
    </row>
    <row r="402" spans="1:2">
      <c r="A402" t="s">
        <v>892</v>
      </c>
      <c r="B402" s="66">
        <v>1</v>
      </c>
    </row>
    <row r="403" spans="1:2">
      <c r="A403" t="s">
        <v>893</v>
      </c>
      <c r="B403" s="66">
        <v>1</v>
      </c>
    </row>
    <row r="404" spans="1:2">
      <c r="A404" t="s">
        <v>419</v>
      </c>
      <c r="B404" s="66">
        <v>2</v>
      </c>
    </row>
    <row r="405" spans="1:2">
      <c r="A405" t="s">
        <v>420</v>
      </c>
      <c r="B405" s="66">
        <v>1</v>
      </c>
    </row>
    <row r="406" spans="1:2">
      <c r="A406" t="s">
        <v>894</v>
      </c>
      <c r="B406" s="66">
        <v>1</v>
      </c>
    </row>
    <row r="407" spans="1:2">
      <c r="A407" t="s">
        <v>676</v>
      </c>
      <c r="B407" s="66">
        <v>1</v>
      </c>
    </row>
    <row r="408" spans="1:2">
      <c r="A408" t="s">
        <v>399</v>
      </c>
      <c r="B408" s="66">
        <v>2</v>
      </c>
    </row>
    <row r="409" spans="1:2">
      <c r="A409" t="s">
        <v>895</v>
      </c>
      <c r="B409" s="66">
        <v>1</v>
      </c>
    </row>
    <row r="410" spans="1:2">
      <c r="A410" t="s">
        <v>514</v>
      </c>
      <c r="B410" s="66">
        <v>2</v>
      </c>
    </row>
    <row r="411" spans="1:2">
      <c r="A411" t="s">
        <v>896</v>
      </c>
      <c r="B411" s="66">
        <v>1</v>
      </c>
    </row>
    <row r="412" spans="1:2">
      <c r="A412" t="s">
        <v>897</v>
      </c>
      <c r="B412" s="66">
        <v>3</v>
      </c>
    </row>
    <row r="413" spans="1:2">
      <c r="A413" t="s">
        <v>255</v>
      </c>
      <c r="B413" s="66">
        <v>3</v>
      </c>
    </row>
    <row r="414" spans="1:2">
      <c r="A414" t="s">
        <v>194</v>
      </c>
      <c r="B414" s="66">
        <v>8</v>
      </c>
    </row>
    <row r="415" spans="1:2">
      <c r="A415" t="s">
        <v>169</v>
      </c>
      <c r="B415" s="66">
        <v>25</v>
      </c>
    </row>
    <row r="416" spans="1:2">
      <c r="A416" t="s">
        <v>206</v>
      </c>
      <c r="B416" s="66">
        <v>4</v>
      </c>
    </row>
    <row r="417" spans="1:2">
      <c r="A417" t="s">
        <v>898</v>
      </c>
      <c r="B417" s="66">
        <v>1</v>
      </c>
    </row>
    <row r="418" spans="1:2">
      <c r="A418" t="s">
        <v>400</v>
      </c>
      <c r="B418" s="66">
        <v>4</v>
      </c>
    </row>
    <row r="419" spans="1:2">
      <c r="A419" t="s">
        <v>335</v>
      </c>
      <c r="B419" s="66">
        <v>17</v>
      </c>
    </row>
    <row r="420" spans="1:2">
      <c r="A420" t="s">
        <v>166</v>
      </c>
      <c r="B420" s="66">
        <v>1</v>
      </c>
    </row>
    <row r="421" spans="1:2">
      <c r="A421" t="s">
        <v>159</v>
      </c>
      <c r="B421" s="66">
        <v>7</v>
      </c>
    </row>
    <row r="422" spans="1:2">
      <c r="A422" t="s">
        <v>216</v>
      </c>
      <c r="B422" s="66">
        <v>47</v>
      </c>
    </row>
    <row r="423" spans="1:2">
      <c r="A423" t="s">
        <v>401</v>
      </c>
      <c r="B423" s="66">
        <v>7</v>
      </c>
    </row>
    <row r="424" spans="1:2">
      <c r="A424" t="s">
        <v>402</v>
      </c>
      <c r="B424" s="66">
        <v>12</v>
      </c>
    </row>
    <row r="425" spans="1:2">
      <c r="A425" t="s">
        <v>899</v>
      </c>
      <c r="B425" s="66">
        <v>1</v>
      </c>
    </row>
    <row r="426" spans="1:2">
      <c r="A426" t="s">
        <v>403</v>
      </c>
      <c r="B426" s="66">
        <v>1</v>
      </c>
    </row>
    <row r="427" spans="1:2">
      <c r="A427" t="s">
        <v>900</v>
      </c>
      <c r="B427" s="66">
        <v>1</v>
      </c>
    </row>
    <row r="428" spans="1:2">
      <c r="A428" t="s">
        <v>901</v>
      </c>
      <c r="B428" s="66">
        <v>1</v>
      </c>
    </row>
    <row r="429" spans="1:2">
      <c r="A429" t="s">
        <v>677</v>
      </c>
      <c r="B429" s="66">
        <v>1</v>
      </c>
    </row>
    <row r="430" spans="1:2">
      <c r="A430" t="s">
        <v>902</v>
      </c>
      <c r="B430" s="66">
        <v>1</v>
      </c>
    </row>
    <row r="431" spans="1:2">
      <c r="A431" t="s">
        <v>421</v>
      </c>
      <c r="B431" s="66">
        <v>4</v>
      </c>
    </row>
    <row r="432" spans="1:2">
      <c r="A432" t="s">
        <v>678</v>
      </c>
      <c r="B432" s="66">
        <v>1</v>
      </c>
    </row>
    <row r="433" spans="1:2">
      <c r="A433" t="s">
        <v>679</v>
      </c>
      <c r="B433" s="66">
        <v>1</v>
      </c>
    </row>
    <row r="434" spans="1:2">
      <c r="A434" t="s">
        <v>515</v>
      </c>
      <c r="B434" s="66">
        <v>1</v>
      </c>
    </row>
    <row r="435" spans="1:2">
      <c r="A435" t="s">
        <v>516</v>
      </c>
      <c r="B435" s="66">
        <v>5</v>
      </c>
    </row>
    <row r="436" spans="1:2">
      <c r="A436" t="s">
        <v>680</v>
      </c>
      <c r="B436" s="66">
        <v>2</v>
      </c>
    </row>
    <row r="437" spans="1:2">
      <c r="A437" t="s">
        <v>681</v>
      </c>
      <c r="B437" s="66">
        <v>1</v>
      </c>
    </row>
    <row r="438" spans="1:2">
      <c r="A438" t="s">
        <v>903</v>
      </c>
      <c r="B438" s="66">
        <v>1</v>
      </c>
    </row>
    <row r="439" spans="1:2">
      <c r="A439" t="s">
        <v>247</v>
      </c>
      <c r="B439" s="66">
        <v>5</v>
      </c>
    </row>
    <row r="440" spans="1:2">
      <c r="A440" t="s">
        <v>904</v>
      </c>
      <c r="B440" s="66">
        <v>1</v>
      </c>
    </row>
    <row r="441" spans="1:2">
      <c r="A441" t="s">
        <v>905</v>
      </c>
      <c r="B441" s="66">
        <v>1</v>
      </c>
    </row>
    <row r="442" spans="1:2">
      <c r="A442" t="s">
        <v>682</v>
      </c>
      <c r="B442" s="66">
        <v>3</v>
      </c>
    </row>
    <row r="443" spans="1:2">
      <c r="A443" t="s">
        <v>906</v>
      </c>
      <c r="B443" s="66">
        <v>2</v>
      </c>
    </row>
    <row r="444" spans="1:2">
      <c r="A444" t="s">
        <v>907</v>
      </c>
      <c r="B444" s="66">
        <v>1</v>
      </c>
    </row>
    <row r="445" spans="1:2">
      <c r="A445" t="s">
        <v>217</v>
      </c>
      <c r="B445" s="66">
        <v>1</v>
      </c>
    </row>
    <row r="446" spans="1:2">
      <c r="A446" t="s">
        <v>908</v>
      </c>
      <c r="B446" s="66">
        <v>1</v>
      </c>
    </row>
    <row r="447" spans="1:2">
      <c r="A447" t="s">
        <v>909</v>
      </c>
      <c r="B447" s="66">
        <v>4</v>
      </c>
    </row>
    <row r="448" spans="1:2">
      <c r="A448" t="s">
        <v>910</v>
      </c>
      <c r="B448" s="66">
        <v>1</v>
      </c>
    </row>
    <row r="449" spans="1:2">
      <c r="A449" t="s">
        <v>683</v>
      </c>
      <c r="B449" s="66">
        <v>1</v>
      </c>
    </row>
    <row r="450" spans="1:2">
      <c r="A450" t="s">
        <v>911</v>
      </c>
      <c r="B450" s="66">
        <v>1</v>
      </c>
    </row>
    <row r="451" spans="1:2">
      <c r="A451" t="s">
        <v>912</v>
      </c>
      <c r="B451" s="66">
        <v>1</v>
      </c>
    </row>
    <row r="452" spans="1:2">
      <c r="A452" t="s">
        <v>913</v>
      </c>
      <c r="B452" s="66">
        <v>1</v>
      </c>
    </row>
    <row r="453" spans="1:2">
      <c r="A453" t="s">
        <v>684</v>
      </c>
      <c r="B453" s="66">
        <v>3</v>
      </c>
    </row>
    <row r="454" spans="1:2">
      <c r="A454" t="s">
        <v>685</v>
      </c>
      <c r="B454" s="66">
        <v>1</v>
      </c>
    </row>
    <row r="455" spans="1:2">
      <c r="A455" t="s">
        <v>914</v>
      </c>
      <c r="B455" s="66">
        <v>1</v>
      </c>
    </row>
    <row r="456" spans="1:2">
      <c r="A456" t="s">
        <v>360</v>
      </c>
      <c r="B456" s="66">
        <v>4</v>
      </c>
    </row>
    <row r="457" spans="1:2">
      <c r="A457" t="s">
        <v>355</v>
      </c>
      <c r="B457" s="66">
        <v>2</v>
      </c>
    </row>
    <row r="458" spans="1:2">
      <c r="A458" t="s">
        <v>915</v>
      </c>
      <c r="B458" s="66">
        <v>2</v>
      </c>
    </row>
    <row r="459" spans="1:2">
      <c r="A459" t="s">
        <v>293</v>
      </c>
      <c r="B459" s="66">
        <v>4</v>
      </c>
    </row>
    <row r="460" spans="1:2">
      <c r="A460" t="s">
        <v>916</v>
      </c>
      <c r="B460" s="66">
        <v>1</v>
      </c>
    </row>
    <row r="461" spans="1:2">
      <c r="A461" t="s">
        <v>318</v>
      </c>
      <c r="B461" s="66">
        <v>2</v>
      </c>
    </row>
    <row r="462" spans="1:2">
      <c r="A462" t="s">
        <v>277</v>
      </c>
      <c r="B462" s="66">
        <v>3</v>
      </c>
    </row>
    <row r="463" spans="1:2">
      <c r="A463" t="s">
        <v>156</v>
      </c>
      <c r="B463" s="66">
        <v>10</v>
      </c>
    </row>
    <row r="464" spans="1:2">
      <c r="A464" t="s">
        <v>164</v>
      </c>
      <c r="B464" s="66">
        <v>6</v>
      </c>
    </row>
    <row r="465" spans="1:2">
      <c r="A465" t="s">
        <v>517</v>
      </c>
      <c r="B465" s="66">
        <v>1</v>
      </c>
    </row>
    <row r="466" spans="1:2">
      <c r="A466" t="s">
        <v>190</v>
      </c>
      <c r="B466" s="66">
        <v>6</v>
      </c>
    </row>
    <row r="467" spans="1:2">
      <c r="A467" t="s">
        <v>177</v>
      </c>
      <c r="B467" s="66">
        <v>10</v>
      </c>
    </row>
    <row r="468" spans="1:2">
      <c r="A468" t="s">
        <v>178</v>
      </c>
      <c r="B468" s="66">
        <v>6</v>
      </c>
    </row>
    <row r="469" spans="1:2">
      <c r="A469" t="s">
        <v>258</v>
      </c>
      <c r="B469" s="66">
        <v>3</v>
      </c>
    </row>
    <row r="470" spans="1:2">
      <c r="A470" t="s">
        <v>357</v>
      </c>
      <c r="B470" s="66">
        <v>4</v>
      </c>
    </row>
    <row r="471" spans="1:2">
      <c r="A471" t="s">
        <v>329</v>
      </c>
      <c r="B471" s="66">
        <v>2</v>
      </c>
    </row>
    <row r="472" spans="1:2">
      <c r="A472" t="s">
        <v>917</v>
      </c>
      <c r="B472" s="66">
        <v>1</v>
      </c>
    </row>
    <row r="473" spans="1:2">
      <c r="A473" t="s">
        <v>225</v>
      </c>
      <c r="B473" s="66">
        <v>1</v>
      </c>
    </row>
    <row r="474" spans="1:2">
      <c r="A474" t="s">
        <v>224</v>
      </c>
      <c r="B474" s="66">
        <v>1</v>
      </c>
    </row>
    <row r="475" spans="1:2">
      <c r="A475" t="s">
        <v>187</v>
      </c>
      <c r="B475" s="66">
        <v>17</v>
      </c>
    </row>
    <row r="476" spans="1:2">
      <c r="A476" t="s">
        <v>308</v>
      </c>
      <c r="B476" s="66">
        <v>4</v>
      </c>
    </row>
    <row r="477" spans="1:2">
      <c r="A477" t="s">
        <v>918</v>
      </c>
      <c r="B477" s="66">
        <v>1</v>
      </c>
    </row>
    <row r="478" spans="1:2">
      <c r="A478" t="s">
        <v>919</v>
      </c>
      <c r="B478" s="66">
        <v>2</v>
      </c>
    </row>
    <row r="479" spans="1:2">
      <c r="A479" t="s">
        <v>920</v>
      </c>
      <c r="B479" s="66">
        <v>2</v>
      </c>
    </row>
    <row r="480" spans="1:2">
      <c r="A480" t="s">
        <v>921</v>
      </c>
      <c r="B480" s="66">
        <v>1</v>
      </c>
    </row>
    <row r="481" spans="1:2">
      <c r="A481" t="s">
        <v>922</v>
      </c>
      <c r="B481" s="66">
        <v>2</v>
      </c>
    </row>
    <row r="482" spans="1:2">
      <c r="A482" t="s">
        <v>923</v>
      </c>
      <c r="B482" s="66">
        <v>3</v>
      </c>
    </row>
    <row r="483" spans="1:2">
      <c r="A483" t="s">
        <v>404</v>
      </c>
      <c r="B483" s="66">
        <v>1</v>
      </c>
    </row>
    <row r="484" spans="1:2">
      <c r="A484" t="s">
        <v>686</v>
      </c>
      <c r="B484" s="66">
        <v>2</v>
      </c>
    </row>
    <row r="485" spans="1:2">
      <c r="A485" t="s">
        <v>924</v>
      </c>
      <c r="B485" s="66">
        <v>2</v>
      </c>
    </row>
    <row r="486" spans="1:2">
      <c r="A486" t="s">
        <v>925</v>
      </c>
      <c r="B486" s="66">
        <v>2</v>
      </c>
    </row>
    <row r="487" spans="1:2">
      <c r="A487" t="s">
        <v>162</v>
      </c>
      <c r="B487" s="66">
        <v>6</v>
      </c>
    </row>
    <row r="488" spans="1:2">
      <c r="A488" t="s">
        <v>325</v>
      </c>
      <c r="B488" s="66">
        <v>1</v>
      </c>
    </row>
    <row r="489" spans="1:2">
      <c r="A489" t="s">
        <v>236</v>
      </c>
      <c r="B489" s="66">
        <v>5</v>
      </c>
    </row>
    <row r="490" spans="1:2">
      <c r="A490" t="s">
        <v>249</v>
      </c>
      <c r="B490" s="66">
        <v>4</v>
      </c>
    </row>
    <row r="491" spans="1:2">
      <c r="A491" t="s">
        <v>687</v>
      </c>
      <c r="B491" s="66">
        <v>5</v>
      </c>
    </row>
    <row r="492" spans="1:2">
      <c r="A492" t="s">
        <v>260</v>
      </c>
      <c r="B492" s="66">
        <v>1</v>
      </c>
    </row>
    <row r="493" spans="1:2">
      <c r="A493" t="s">
        <v>353</v>
      </c>
      <c r="B493" s="66">
        <v>5</v>
      </c>
    </row>
    <row r="494" spans="1:2">
      <c r="A494" t="s">
        <v>926</v>
      </c>
      <c r="B494" s="66">
        <v>1</v>
      </c>
    </row>
    <row r="495" spans="1:2">
      <c r="A495" t="s">
        <v>208</v>
      </c>
      <c r="B495" s="66">
        <v>11</v>
      </c>
    </row>
    <row r="496" spans="1:2">
      <c r="A496" t="s">
        <v>688</v>
      </c>
      <c r="B496" s="66">
        <v>3</v>
      </c>
    </row>
    <row r="497" spans="1:2">
      <c r="A497" t="s">
        <v>927</v>
      </c>
      <c r="B497" s="66">
        <v>1</v>
      </c>
    </row>
    <row r="498" spans="1:2">
      <c r="A498" t="s">
        <v>928</v>
      </c>
      <c r="B498" s="66">
        <v>1</v>
      </c>
    </row>
    <row r="499" spans="1:2">
      <c r="A499" t="s">
        <v>689</v>
      </c>
      <c r="B499" s="66">
        <v>2</v>
      </c>
    </row>
    <row r="500" spans="1:2">
      <c r="A500" t="s">
        <v>161</v>
      </c>
      <c r="B500" s="66">
        <v>3</v>
      </c>
    </row>
    <row r="501" spans="1:2">
      <c r="A501" t="s">
        <v>929</v>
      </c>
      <c r="B501" s="66">
        <v>2</v>
      </c>
    </row>
    <row r="502" spans="1:2">
      <c r="A502" t="s">
        <v>690</v>
      </c>
      <c r="B502" s="66">
        <v>1</v>
      </c>
    </row>
    <row r="503" spans="1:2">
      <c r="A503" t="s">
        <v>691</v>
      </c>
      <c r="B503" s="66">
        <v>1</v>
      </c>
    </row>
    <row r="504" spans="1:2">
      <c r="A504" t="s">
        <v>930</v>
      </c>
      <c r="B504" s="66">
        <v>1</v>
      </c>
    </row>
    <row r="505" spans="1:2">
      <c r="A505" t="s">
        <v>931</v>
      </c>
      <c r="B505" s="66">
        <v>1</v>
      </c>
    </row>
    <row r="506" spans="1:2">
      <c r="A506" t="s">
        <v>932</v>
      </c>
      <c r="B506" s="66">
        <v>1</v>
      </c>
    </row>
    <row r="507" spans="1:2">
      <c r="A507" t="s">
        <v>933</v>
      </c>
      <c r="B507" s="66">
        <v>1</v>
      </c>
    </row>
    <row r="508" spans="1:2">
      <c r="A508" t="s">
        <v>934</v>
      </c>
      <c r="B508" s="66">
        <v>1</v>
      </c>
    </row>
    <row r="509" spans="1:2">
      <c r="A509" t="s">
        <v>935</v>
      </c>
      <c r="B509" s="66">
        <v>2</v>
      </c>
    </row>
    <row r="510" spans="1:2">
      <c r="A510" t="s">
        <v>319</v>
      </c>
      <c r="B510" s="66">
        <v>1</v>
      </c>
    </row>
    <row r="511" spans="1:2">
      <c r="A511" t="s">
        <v>936</v>
      </c>
      <c r="B511" s="66">
        <v>1</v>
      </c>
    </row>
    <row r="512" spans="1:2">
      <c r="A512" t="s">
        <v>937</v>
      </c>
      <c r="B512" s="66">
        <v>1</v>
      </c>
    </row>
    <row r="513" spans="1:2">
      <c r="A513" t="s">
        <v>405</v>
      </c>
      <c r="B513" s="66">
        <v>2</v>
      </c>
    </row>
    <row r="514" spans="1:2">
      <c r="A514" t="s">
        <v>346</v>
      </c>
      <c r="B514" s="66">
        <v>22</v>
      </c>
    </row>
    <row r="515" spans="1:2">
      <c r="A515" t="s">
        <v>938</v>
      </c>
      <c r="B515" s="66">
        <v>2</v>
      </c>
    </row>
    <row r="516" spans="1:2">
      <c r="A516" t="s">
        <v>406</v>
      </c>
      <c r="B516" s="66">
        <v>3</v>
      </c>
    </row>
    <row r="517" spans="1:2">
      <c r="A517" t="s">
        <v>939</v>
      </c>
      <c r="B517" s="66">
        <v>1</v>
      </c>
    </row>
    <row r="518" spans="1:2">
      <c r="A518" t="s">
        <v>196</v>
      </c>
      <c r="B518" s="66">
        <v>3</v>
      </c>
    </row>
    <row r="519" spans="1:2">
      <c r="A519" t="s">
        <v>692</v>
      </c>
      <c r="B519" s="66">
        <v>1</v>
      </c>
    </row>
    <row r="520" spans="1:2">
      <c r="A520" t="s">
        <v>230</v>
      </c>
      <c r="B520" s="66">
        <v>3</v>
      </c>
    </row>
    <row r="521" spans="1:2">
      <c r="A521" t="s">
        <v>193</v>
      </c>
      <c r="B521" s="66">
        <v>3</v>
      </c>
    </row>
    <row r="522" spans="1:2">
      <c r="A522" t="s">
        <v>306</v>
      </c>
      <c r="B522" s="66">
        <v>9</v>
      </c>
    </row>
    <row r="523" spans="1:2">
      <c r="A523" t="s">
        <v>693</v>
      </c>
      <c r="B523" s="66">
        <v>4</v>
      </c>
    </row>
    <row r="524" spans="1:2">
      <c r="A524" t="s">
        <v>694</v>
      </c>
      <c r="B524" s="66">
        <v>2</v>
      </c>
    </row>
    <row r="525" spans="1:2">
      <c r="A525" t="s">
        <v>695</v>
      </c>
      <c r="B525" s="66">
        <v>1</v>
      </c>
    </row>
    <row r="526" spans="1:2">
      <c r="A526" t="s">
        <v>940</v>
      </c>
      <c r="B526" s="66">
        <v>1</v>
      </c>
    </row>
    <row r="527" spans="1:2">
      <c r="A527" t="s">
        <v>941</v>
      </c>
      <c r="B527" s="66">
        <v>4</v>
      </c>
    </row>
    <row r="528" spans="1:2">
      <c r="A528" t="s">
        <v>696</v>
      </c>
      <c r="B528" s="66">
        <v>1</v>
      </c>
    </row>
    <row r="529" spans="1:2">
      <c r="A529" t="s">
        <v>942</v>
      </c>
      <c r="B529" s="66">
        <v>2</v>
      </c>
    </row>
    <row r="530" spans="1:2">
      <c r="A530" t="s">
        <v>943</v>
      </c>
      <c r="B530" s="66">
        <v>4</v>
      </c>
    </row>
    <row r="531" spans="1:2">
      <c r="A531" t="s">
        <v>944</v>
      </c>
      <c r="B531" s="66">
        <v>1</v>
      </c>
    </row>
    <row r="532" spans="1:2">
      <c r="A532" t="s">
        <v>945</v>
      </c>
      <c r="B532" s="66">
        <v>1</v>
      </c>
    </row>
    <row r="533" spans="1:2">
      <c r="A533" t="s">
        <v>697</v>
      </c>
      <c r="B533" s="66">
        <v>1</v>
      </c>
    </row>
    <row r="534" spans="1:2">
      <c r="A534" t="s">
        <v>946</v>
      </c>
      <c r="B534" s="66">
        <v>1</v>
      </c>
    </row>
    <row r="535" spans="1:2">
      <c r="A535" t="s">
        <v>257</v>
      </c>
      <c r="B535" s="66">
        <v>4</v>
      </c>
    </row>
    <row r="536" spans="1:2">
      <c r="A536" t="s">
        <v>947</v>
      </c>
      <c r="B536" s="66">
        <v>1</v>
      </c>
    </row>
    <row r="537" spans="1:2">
      <c r="A537" t="s">
        <v>948</v>
      </c>
      <c r="B537" s="66">
        <v>1</v>
      </c>
    </row>
    <row r="538" spans="1:2">
      <c r="A538" t="s">
        <v>949</v>
      </c>
      <c r="B538" s="66">
        <v>1</v>
      </c>
    </row>
    <row r="539" spans="1:2">
      <c r="A539" t="s">
        <v>407</v>
      </c>
      <c r="B539" s="66">
        <v>3</v>
      </c>
    </row>
    <row r="540" spans="1:2">
      <c r="A540" t="s">
        <v>698</v>
      </c>
      <c r="B540" s="66">
        <v>1</v>
      </c>
    </row>
    <row r="541" spans="1:2">
      <c r="A541" t="s">
        <v>950</v>
      </c>
      <c r="B541" s="66">
        <v>1</v>
      </c>
    </row>
    <row r="542" spans="1:2">
      <c r="A542" t="s">
        <v>951</v>
      </c>
      <c r="B542" s="66">
        <v>1</v>
      </c>
    </row>
    <row r="543" spans="1:2">
      <c r="A543" t="s">
        <v>408</v>
      </c>
      <c r="B543" s="66">
        <v>2</v>
      </c>
    </row>
    <row r="544" spans="1:2">
      <c r="A544" t="s">
        <v>952</v>
      </c>
      <c r="B544" s="66">
        <v>1</v>
      </c>
    </row>
    <row r="545" spans="1:2">
      <c r="A545" t="s">
        <v>953</v>
      </c>
      <c r="B545" s="66">
        <v>1</v>
      </c>
    </row>
    <row r="546" spans="1:2">
      <c r="A546" t="s">
        <v>290</v>
      </c>
      <c r="B546" s="66">
        <v>10</v>
      </c>
    </row>
    <row r="547" spans="1:2">
      <c r="A547" t="s">
        <v>699</v>
      </c>
      <c r="B547" s="66">
        <v>1</v>
      </c>
    </row>
    <row r="548" spans="1:2">
      <c r="A548" t="s">
        <v>700</v>
      </c>
      <c r="B548" s="66">
        <v>5</v>
      </c>
    </row>
    <row r="549" spans="1:2">
      <c r="A549" t="s">
        <v>518</v>
      </c>
      <c r="B549" s="66">
        <v>1</v>
      </c>
    </row>
    <row r="550" spans="1:2">
      <c r="A550" t="s">
        <v>954</v>
      </c>
      <c r="B550" s="66">
        <v>1</v>
      </c>
    </row>
    <row r="551" spans="1:2">
      <c r="A551" t="s">
        <v>239</v>
      </c>
      <c r="B551" s="66">
        <v>6</v>
      </c>
    </row>
    <row r="552" spans="1:2">
      <c r="A552" t="s">
        <v>955</v>
      </c>
      <c r="B552" s="66">
        <v>1</v>
      </c>
    </row>
    <row r="553" spans="1:2">
      <c r="A553" t="s">
        <v>701</v>
      </c>
      <c r="B553" s="66">
        <v>5</v>
      </c>
    </row>
    <row r="554" spans="1:2">
      <c r="A554" t="s">
        <v>519</v>
      </c>
      <c r="B554" s="66">
        <v>1</v>
      </c>
    </row>
    <row r="555" spans="1:2">
      <c r="A555" t="s">
        <v>956</v>
      </c>
      <c r="B555" s="66">
        <v>1</v>
      </c>
    </row>
    <row r="556" spans="1:2">
      <c r="A556" t="s">
        <v>957</v>
      </c>
      <c r="B556" s="66">
        <v>1</v>
      </c>
    </row>
    <row r="557" spans="1:2">
      <c r="A557" t="s">
        <v>958</v>
      </c>
      <c r="B557" s="66">
        <v>2</v>
      </c>
    </row>
    <row r="558" spans="1:2">
      <c r="A558" t="s">
        <v>350</v>
      </c>
      <c r="B558" s="66">
        <v>3</v>
      </c>
    </row>
    <row r="559" spans="1:2">
      <c r="A559" t="s">
        <v>321</v>
      </c>
      <c r="B559" s="66">
        <v>9</v>
      </c>
    </row>
    <row r="560" spans="1:2">
      <c r="A560" t="s">
        <v>702</v>
      </c>
      <c r="B560" s="66">
        <v>1</v>
      </c>
    </row>
    <row r="561" spans="1:2">
      <c r="A561" t="s">
        <v>703</v>
      </c>
      <c r="B561" s="66">
        <v>1</v>
      </c>
    </row>
    <row r="562" spans="1:2">
      <c r="A562" t="s">
        <v>704</v>
      </c>
      <c r="B562" s="66">
        <v>5</v>
      </c>
    </row>
    <row r="563" spans="1:2">
      <c r="A563" t="s">
        <v>705</v>
      </c>
      <c r="B563" s="66">
        <v>2</v>
      </c>
    </row>
    <row r="564" spans="1:2">
      <c r="A564" t="s">
        <v>706</v>
      </c>
      <c r="B564" s="66">
        <v>4</v>
      </c>
    </row>
    <row r="565" spans="1:2">
      <c r="A565" t="s">
        <v>707</v>
      </c>
      <c r="B565" s="66">
        <v>5</v>
      </c>
    </row>
    <row r="566" spans="1:2">
      <c r="A566" t="s">
        <v>708</v>
      </c>
      <c r="B566" s="66">
        <v>6</v>
      </c>
    </row>
    <row r="567" spans="1:2">
      <c r="A567" t="s">
        <v>709</v>
      </c>
      <c r="B567" s="66">
        <v>1</v>
      </c>
    </row>
    <row r="568" spans="1:2">
      <c r="A568" t="s">
        <v>710</v>
      </c>
      <c r="B568" s="66">
        <v>11</v>
      </c>
    </row>
    <row r="569" spans="1:2">
      <c r="A569" t="s">
        <v>711</v>
      </c>
      <c r="B569" s="66">
        <v>7</v>
      </c>
    </row>
    <row r="570" spans="1:2">
      <c r="A570" t="s">
        <v>712</v>
      </c>
      <c r="B570" s="66">
        <v>46</v>
      </c>
    </row>
    <row r="571" spans="1:2">
      <c r="A571" t="s">
        <v>713</v>
      </c>
      <c r="B571" s="66">
        <v>47</v>
      </c>
    </row>
    <row r="572" spans="1:2">
      <c r="A572" t="s">
        <v>714</v>
      </c>
      <c r="B572" s="66">
        <v>4</v>
      </c>
    </row>
    <row r="573" spans="1:2">
      <c r="A573" t="s">
        <v>715</v>
      </c>
      <c r="B573" s="66">
        <v>2</v>
      </c>
    </row>
    <row r="574" spans="1:2">
      <c r="A574" t="s">
        <v>716</v>
      </c>
      <c r="B574" s="66">
        <v>37</v>
      </c>
    </row>
    <row r="575" spans="1:2">
      <c r="A575" t="s">
        <v>717</v>
      </c>
      <c r="B575" s="66">
        <v>25</v>
      </c>
    </row>
    <row r="576" spans="1:2">
      <c r="A576" t="s">
        <v>959</v>
      </c>
      <c r="B576" s="66">
        <v>1</v>
      </c>
    </row>
    <row r="577" spans="1:2">
      <c r="A577" t="s">
        <v>199</v>
      </c>
      <c r="B577" s="66">
        <v>3</v>
      </c>
    </row>
    <row r="578" spans="1:2">
      <c r="A578" t="s">
        <v>718</v>
      </c>
      <c r="B578" s="66">
        <v>2</v>
      </c>
    </row>
    <row r="579" spans="1:2">
      <c r="A579" t="s">
        <v>960</v>
      </c>
      <c r="B579" s="66">
        <v>1</v>
      </c>
    </row>
    <row r="580" spans="1:2">
      <c r="A580" t="s">
        <v>520</v>
      </c>
      <c r="B580" s="66">
        <v>1</v>
      </c>
    </row>
    <row r="581" spans="1:2">
      <c r="A581" t="s">
        <v>961</v>
      </c>
      <c r="B581" s="66">
        <v>1</v>
      </c>
    </row>
    <row r="582" spans="1:2">
      <c r="A582" t="s">
        <v>962</v>
      </c>
      <c r="B582" s="66">
        <v>2</v>
      </c>
    </row>
    <row r="583" spans="1:2">
      <c r="A583" t="s">
        <v>521</v>
      </c>
      <c r="B583" s="66">
        <v>1</v>
      </c>
    </row>
    <row r="584" spans="1:2">
      <c r="A584" t="s">
        <v>719</v>
      </c>
      <c r="B584" s="66">
        <v>1</v>
      </c>
    </row>
    <row r="585" spans="1:2">
      <c r="A585" t="s">
        <v>522</v>
      </c>
      <c r="B585" s="66">
        <v>11</v>
      </c>
    </row>
    <row r="586" spans="1:2">
      <c r="A586" t="s">
        <v>424</v>
      </c>
      <c r="B586" s="66">
        <v>6</v>
      </c>
    </row>
    <row r="587" spans="1:2">
      <c r="A587" t="s">
        <v>422</v>
      </c>
      <c r="B587" s="66">
        <v>6</v>
      </c>
    </row>
    <row r="588" spans="1:2">
      <c r="A588" t="s">
        <v>963</v>
      </c>
      <c r="B588" s="66">
        <v>1</v>
      </c>
    </row>
    <row r="589" spans="1:2">
      <c r="A589" t="s">
        <v>425</v>
      </c>
      <c r="B589" s="66">
        <v>12</v>
      </c>
    </row>
    <row r="590" spans="1:2">
      <c r="A590" t="s">
        <v>423</v>
      </c>
      <c r="B590" s="66">
        <v>8</v>
      </c>
    </row>
    <row r="591" spans="1:2">
      <c r="A591" t="s">
        <v>720</v>
      </c>
      <c r="B591" s="66">
        <v>1</v>
      </c>
    </row>
    <row r="592" spans="1:2">
      <c r="A592" t="s">
        <v>426</v>
      </c>
      <c r="B592" s="66">
        <v>4</v>
      </c>
    </row>
    <row r="593" spans="1:2">
      <c r="A593" t="s">
        <v>964</v>
      </c>
      <c r="B593" s="66">
        <v>1</v>
      </c>
    </row>
    <row r="594" spans="1:2">
      <c r="A594" t="s">
        <v>965</v>
      </c>
      <c r="B594" s="66">
        <v>2</v>
      </c>
    </row>
    <row r="595" spans="1:2">
      <c r="A595" t="s">
        <v>966</v>
      </c>
      <c r="B595" s="66">
        <v>1</v>
      </c>
    </row>
    <row r="596" spans="1:2">
      <c r="A596" t="s">
        <v>493</v>
      </c>
      <c r="B596" s="66">
        <v>2</v>
      </c>
    </row>
    <row r="597" spans="1:2">
      <c r="A597" t="s">
        <v>967</v>
      </c>
      <c r="B597" s="66">
        <v>1</v>
      </c>
    </row>
    <row r="598" spans="1:2">
      <c r="A598" t="s">
        <v>968</v>
      </c>
      <c r="B598" s="66">
        <v>1</v>
      </c>
    </row>
    <row r="599" spans="1:2">
      <c r="A599" t="s">
        <v>969</v>
      </c>
      <c r="B599" s="66">
        <v>1</v>
      </c>
    </row>
    <row r="600" spans="1:2">
      <c r="A600" t="s">
        <v>970</v>
      </c>
      <c r="B600" s="66">
        <v>1</v>
      </c>
    </row>
    <row r="601" spans="1:2">
      <c r="A601" t="s">
        <v>971</v>
      </c>
      <c r="B601" s="66">
        <v>2</v>
      </c>
    </row>
    <row r="602" spans="1:2">
      <c r="A602" t="s">
        <v>427</v>
      </c>
      <c r="B602" s="66">
        <v>7</v>
      </c>
    </row>
    <row r="603" spans="1:2">
      <c r="A603" t="s">
        <v>972</v>
      </c>
      <c r="B603" s="66">
        <v>1</v>
      </c>
    </row>
    <row r="604" spans="1:2">
      <c r="A604" t="s">
        <v>428</v>
      </c>
      <c r="B604" s="66">
        <v>7</v>
      </c>
    </row>
    <row r="605" spans="1:2">
      <c r="A605" t="s">
        <v>973</v>
      </c>
      <c r="B605" s="66">
        <v>1</v>
      </c>
    </row>
  </sheetData>
  <mergeCells count="2">
    <mergeCell ref="A1:B1"/>
    <mergeCell ref="E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Completions_template</vt:lpstr>
      <vt:lpstr>data</vt:lpstr>
      <vt:lpstr>data_code</vt:lpstr>
      <vt:lpstr>Completions_template!Print_Area</vt:lpstr>
      <vt:lpstr>Completions_template!Print_Titles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Lame, Joan</dc:creator>
  <cp:lastModifiedBy>Funk, Jennifer</cp:lastModifiedBy>
  <cp:lastPrinted>2025-09-18T15:29:14Z</cp:lastPrinted>
  <dcterms:created xsi:type="dcterms:W3CDTF">2020-10-09T14:29:28Z</dcterms:created>
  <dcterms:modified xsi:type="dcterms:W3CDTF">2025-09-18T15:29:31Z</dcterms:modified>
</cp:coreProperties>
</file>